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DMIN\Desktop\SMART 2023\"/>
    </mc:Choice>
  </mc:AlternateContent>
  <bookViews>
    <workbookView minimized="1" xWindow="0" yWindow="0" windowWidth="17256" windowHeight="5772" activeTab="2"/>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Grain Processing" sheetId="15" r:id="rId14"/>
    <sheet name="14. Facility 3 Warehouse" sheetId="16" r:id="rId15"/>
    <sheet name="15. Facility 4 Custom Hiring" sheetId="17" r:id="rId16"/>
    <sheet name="16.Facility 5 Agri Input" sheetId="18" r:id="rId17"/>
    <sheet name="17.Facility 6 Horti Processing " sheetId="19" r:id="rId18"/>
  </sheets>
  <externalReferences>
    <externalReference r:id="rId19"/>
  </externalReferenc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7" i="3" l="1"/>
  <c r="H22" i="3"/>
  <c r="G36" i="3"/>
  <c r="G37" i="3"/>
  <c r="H38" i="3"/>
  <c r="A62" i="11"/>
  <c r="A31" i="13" s="1"/>
  <c r="A88" i="13" s="1"/>
  <c r="A140" i="13" s="1"/>
  <c r="A198" i="13" s="1"/>
  <c r="A253" i="13" s="1"/>
  <c r="A61" i="11"/>
  <c r="A30" i="13" s="1"/>
  <c r="A87" i="13" s="1"/>
  <c r="A139" i="13" s="1"/>
  <c r="A197" i="13" s="1"/>
  <c r="A252" i="13" s="1"/>
  <c r="A60" i="11"/>
  <c r="A59" i="11"/>
  <c r="A28" i="13" s="1"/>
  <c r="A85" i="13" s="1"/>
  <c r="A137" i="13" s="1"/>
  <c r="A195" i="13" s="1"/>
  <c r="A250" i="13" s="1"/>
  <c r="A58" i="11"/>
  <c r="A27" i="13" s="1"/>
  <c r="A84" i="13" s="1"/>
  <c r="A136" i="13" s="1"/>
  <c r="A194" i="13" s="1"/>
  <c r="A249" i="13" s="1"/>
  <c r="A57" i="11"/>
  <c r="A26" i="13" s="1"/>
  <c r="A83" i="13" s="1"/>
  <c r="A135" i="13" s="1"/>
  <c r="A193" i="13" s="1"/>
  <c r="A248" i="13" s="1"/>
  <c r="A56" i="11"/>
  <c r="A55" i="11"/>
  <c r="A24" i="13" s="1"/>
  <c r="A81" i="13" s="1"/>
  <c r="A133" i="13" s="1"/>
  <c r="A191" i="13" s="1"/>
  <c r="A246" i="13" s="1"/>
  <c r="A54" i="11"/>
  <c r="A23" i="13" s="1"/>
  <c r="A80" i="13" s="1"/>
  <c r="A132" i="13" s="1"/>
  <c r="A190" i="13" s="1"/>
  <c r="A245" i="13" s="1"/>
  <c r="A53" i="11"/>
  <c r="A22" i="13" s="1"/>
  <c r="A79" i="13" s="1"/>
  <c r="A131" i="13" s="1"/>
  <c r="A189" i="13" s="1"/>
  <c r="A244" i="13" s="1"/>
  <c r="A52" i="11"/>
  <c r="A51" i="11"/>
  <c r="A20" i="13" s="1"/>
  <c r="A77" i="13" s="1"/>
  <c r="A129" i="13" s="1"/>
  <c r="A187" i="13" s="1"/>
  <c r="A242" i="13" s="1"/>
  <c r="A50" i="11"/>
  <c r="A19" i="13" s="1"/>
  <c r="A76" i="13" s="1"/>
  <c r="A128" i="13" s="1"/>
  <c r="A186" i="13" s="1"/>
  <c r="A241" i="13" s="1"/>
  <c r="A49" i="11"/>
  <c r="A18" i="13" s="1"/>
  <c r="A75" i="13" s="1"/>
  <c r="A127" i="13" s="1"/>
  <c r="A185" i="13" s="1"/>
  <c r="A240" i="13" s="1"/>
  <c r="A48" i="11"/>
  <c r="A47" i="11"/>
  <c r="A16" i="13" s="1"/>
  <c r="A73" i="13" s="1"/>
  <c r="A125" i="13" s="1"/>
  <c r="A183" i="13" s="1"/>
  <c r="A238" i="13" s="1"/>
  <c r="A46" i="11"/>
  <c r="A15" i="13" s="1"/>
  <c r="A72" i="13" s="1"/>
  <c r="A124" i="13" s="1"/>
  <c r="A182" i="13" s="1"/>
  <c r="A237" i="13" s="1"/>
  <c r="A45" i="11"/>
  <c r="A14" i="13" s="1"/>
  <c r="A71" i="13" s="1"/>
  <c r="A123" i="13" s="1"/>
  <c r="A181" i="13" s="1"/>
  <c r="A236" i="13" s="1"/>
  <c r="A44" i="11"/>
  <c r="A43" i="11"/>
  <c r="A12" i="13" s="1"/>
  <c r="A69" i="13" s="1"/>
  <c r="A121" i="13" s="1"/>
  <c r="A179" i="13" s="1"/>
  <c r="A234" i="13" s="1"/>
  <c r="A42" i="11"/>
  <c r="A11" i="13" s="1"/>
  <c r="A68" i="13" s="1"/>
  <c r="A120" i="13" s="1"/>
  <c r="A178" i="13" s="1"/>
  <c r="A233" i="13" s="1"/>
  <c r="G52" i="3"/>
  <c r="G51" i="3"/>
  <c r="G50" i="3"/>
  <c r="G49" i="3"/>
  <c r="G48" i="3"/>
  <c r="G47" i="3"/>
  <c r="G46" i="3"/>
  <c r="G45" i="3"/>
  <c r="G44" i="3"/>
  <c r="G43" i="3"/>
  <c r="G42" i="3"/>
  <c r="G41" i="3"/>
  <c r="D110" i="3"/>
  <c r="D10" i="2" s="1"/>
  <c r="F10" i="2" s="1"/>
  <c r="F84" i="3"/>
  <c r="F83" i="3"/>
  <c r="F82" i="3"/>
  <c r="F73" i="3"/>
  <c r="F72" i="3"/>
  <c r="F71" i="3"/>
  <c r="H55" i="3"/>
  <c r="B283" i="13" s="1"/>
  <c r="G33" i="3"/>
  <c r="H58" i="3"/>
  <c r="G58" i="3"/>
  <c r="G34" i="3"/>
  <c r="G32" i="3"/>
  <c r="G31" i="3"/>
  <c r="G30" i="3"/>
  <c r="G29" i="3"/>
  <c r="G28" i="3"/>
  <c r="G27" i="3"/>
  <c r="G26" i="3"/>
  <c r="G25" i="3"/>
  <c r="G24" i="3"/>
  <c r="G23" i="3"/>
  <c r="D8" i="3"/>
  <c r="G8" i="3" s="1"/>
  <c r="D7" i="3"/>
  <c r="G7" i="3" s="1"/>
  <c r="D6" i="3"/>
  <c r="G6" i="3" s="1"/>
  <c r="D185" i="19"/>
  <c r="D181" i="19"/>
  <c r="D180" i="19"/>
  <c r="A156" i="19"/>
  <c r="A155" i="19"/>
  <c r="A154" i="19"/>
  <c r="E149" i="19"/>
  <c r="C41" i="19"/>
  <c r="B41" i="19"/>
  <c r="D40" i="19"/>
  <c r="C40" i="19"/>
  <c r="H33" i="19"/>
  <c r="H32" i="19"/>
  <c r="H31" i="19"/>
  <c r="D268" i="18"/>
  <c r="D267" i="18"/>
  <c r="D266" i="18"/>
  <c r="D265" i="18"/>
  <c r="D273" i="18" s="1"/>
  <c r="A251" i="18"/>
  <c r="A250" i="18"/>
  <c r="A249" i="18"/>
  <c r="A247" i="18"/>
  <c r="A246" i="18"/>
  <c r="A245" i="18"/>
  <c r="A244" i="18"/>
  <c r="D243" i="18"/>
  <c r="D214" i="18"/>
  <c r="D205" i="18"/>
  <c r="A195" i="18"/>
  <c r="C182" i="18"/>
  <c r="A179" i="18"/>
  <c r="A243" i="18" s="1"/>
  <c r="A138" i="18"/>
  <c r="A205" i="18" s="1"/>
  <c r="A129" i="18"/>
  <c r="E124" i="18"/>
  <c r="G84" i="18"/>
  <c r="A70" i="18"/>
  <c r="A61" i="18"/>
  <c r="A32" i="18"/>
  <c r="A153" i="18" s="1"/>
  <c r="A220" i="18" s="1"/>
  <c r="I31" i="18"/>
  <c r="I84" i="18" s="1"/>
  <c r="H31" i="18"/>
  <c r="H84" i="18" s="1"/>
  <c r="G31" i="18"/>
  <c r="F31" i="18"/>
  <c r="F84" i="18" s="1"/>
  <c r="E31" i="18"/>
  <c r="E84" i="18" s="1"/>
  <c r="D31" i="18"/>
  <c r="D84" i="18" s="1"/>
  <c r="C31" i="18"/>
  <c r="C84" i="18" s="1"/>
  <c r="A31" i="18"/>
  <c r="A152" i="18" s="1"/>
  <c r="A219" i="18" s="1"/>
  <c r="A26" i="18"/>
  <c r="F52" i="17"/>
  <c r="F56" i="17" s="1"/>
  <c r="E52" i="17"/>
  <c r="E56" i="17" s="1"/>
  <c r="G38" i="17"/>
  <c r="D38" i="17"/>
  <c r="C38" i="17"/>
  <c r="D37" i="17"/>
  <c r="C37" i="17"/>
  <c r="E36" i="17"/>
  <c r="D36" i="17"/>
  <c r="C36" i="17"/>
  <c r="F35" i="17"/>
  <c r="D35" i="17"/>
  <c r="C35" i="17"/>
  <c r="D34" i="17"/>
  <c r="C34" i="17"/>
  <c r="G34" i="17" s="1"/>
  <c r="D33" i="17"/>
  <c r="C33" i="17"/>
  <c r="D32" i="17"/>
  <c r="A32" i="17"/>
  <c r="D31" i="17"/>
  <c r="C31" i="17"/>
  <c r="A31" i="17"/>
  <c r="D30" i="17"/>
  <c r="A30" i="17"/>
  <c r="D29" i="17"/>
  <c r="A29" i="17"/>
  <c r="D28" i="17"/>
  <c r="A28" i="17"/>
  <c r="G23" i="17"/>
  <c r="F23" i="17"/>
  <c r="M17" i="17"/>
  <c r="J17" i="17"/>
  <c r="F17" i="17"/>
  <c r="M16" i="17"/>
  <c r="J16" i="17"/>
  <c r="F16" i="17"/>
  <c r="M15" i="17"/>
  <c r="C44" i="17" s="1"/>
  <c r="J15" i="17"/>
  <c r="F15" i="17"/>
  <c r="M14" i="17"/>
  <c r="J14" i="17"/>
  <c r="F14" i="17"/>
  <c r="M13" i="17"/>
  <c r="J13" i="17"/>
  <c r="F13" i="17"/>
  <c r="M12" i="17"/>
  <c r="F12" i="17"/>
  <c r="H12" i="17" s="1"/>
  <c r="M11" i="17"/>
  <c r="F11" i="17"/>
  <c r="H11" i="17" s="1"/>
  <c r="J11" i="17" s="1"/>
  <c r="M10" i="17"/>
  <c r="F10" i="17"/>
  <c r="H10" i="17" s="1"/>
  <c r="M9" i="17"/>
  <c r="F9" i="17"/>
  <c r="H9" i="17" s="1"/>
  <c r="M8" i="17"/>
  <c r="F8" i="17"/>
  <c r="H8" i="17" s="1"/>
  <c r="D37" i="16"/>
  <c r="D43" i="16" s="1"/>
  <c r="C29" i="16"/>
  <c r="D28" i="16"/>
  <c r="E27" i="16"/>
  <c r="D27" i="16"/>
  <c r="F17" i="16"/>
  <c r="F29" i="16" s="1"/>
  <c r="E17" i="16"/>
  <c r="E28" i="16" s="1"/>
  <c r="C10" i="16"/>
  <c r="E21" i="16" s="1"/>
  <c r="E23" i="16" s="1"/>
  <c r="B10" i="16"/>
  <c r="D21" i="16" s="1"/>
  <c r="D23" i="16" s="1"/>
  <c r="C9" i="16"/>
  <c r="D9" i="16" s="1"/>
  <c r="D10" i="16" s="1"/>
  <c r="D110" i="15"/>
  <c r="D115" i="15" s="1"/>
  <c r="B29" i="7" s="1"/>
  <c r="E79" i="15"/>
  <c r="E110" i="15" s="1"/>
  <c r="E115" i="15" s="1"/>
  <c r="C29" i="7" s="1"/>
  <c r="A67" i="15"/>
  <c r="B34" i="15"/>
  <c r="C33" i="15"/>
  <c r="C34" i="15" s="1"/>
  <c r="D294" i="13"/>
  <c r="D301" i="13" s="1"/>
  <c r="D280" i="13"/>
  <c r="A280" i="13"/>
  <c r="D279" i="13"/>
  <c r="A279" i="13"/>
  <c r="D255" i="13"/>
  <c r="A255" i="13"/>
  <c r="A254" i="13"/>
  <c r="E172" i="13"/>
  <c r="H164" i="13"/>
  <c r="G164" i="13"/>
  <c r="F164" i="13"/>
  <c r="E164" i="13"/>
  <c r="D164" i="13"/>
  <c r="C164" i="13"/>
  <c r="E223" i="13" s="1"/>
  <c r="B164" i="13"/>
  <c r="D223" i="13" s="1"/>
  <c r="H163" i="13"/>
  <c r="G163" i="13"/>
  <c r="F163" i="13"/>
  <c r="E163" i="13"/>
  <c r="D163" i="13"/>
  <c r="C163" i="13"/>
  <c r="E222" i="13" s="1"/>
  <c r="B163" i="13"/>
  <c r="D222" i="13" s="1"/>
  <c r="H162" i="13"/>
  <c r="G162" i="13"/>
  <c r="F162" i="13"/>
  <c r="E162" i="13"/>
  <c r="D162" i="13"/>
  <c r="C162" i="13"/>
  <c r="E221" i="13" s="1"/>
  <c r="B162" i="13"/>
  <c r="D221" i="13" s="1"/>
  <c r="H63" i="13"/>
  <c r="G63" i="13"/>
  <c r="F63" i="13"/>
  <c r="E63" i="13"/>
  <c r="D63" i="13"/>
  <c r="C63" i="13"/>
  <c r="B63" i="13"/>
  <c r="A34" i="13"/>
  <c r="A91" i="13" s="1"/>
  <c r="A143" i="13" s="1"/>
  <c r="A202" i="13" s="1"/>
  <c r="A256" i="13" s="1"/>
  <c r="H32" i="13"/>
  <c r="G32" i="13"/>
  <c r="F32" i="13"/>
  <c r="F89" i="13" s="1"/>
  <c r="F141" i="13" s="1"/>
  <c r="E32" i="13"/>
  <c r="D32" i="13"/>
  <c r="D89" i="13" s="1"/>
  <c r="C32" i="13"/>
  <c r="C89" i="13" s="1"/>
  <c r="B32" i="13"/>
  <c r="B89" i="13" s="1"/>
  <c r="A32" i="13"/>
  <c r="A89" i="13" s="1"/>
  <c r="A141" i="13" s="1"/>
  <c r="G100" i="12"/>
  <c r="H100" i="12" s="1"/>
  <c r="C100" i="12"/>
  <c r="D100" i="12" s="1"/>
  <c r="E100" i="12" s="1"/>
  <c r="F100" i="12" s="1"/>
  <c r="C74" i="12"/>
  <c r="C13" i="19" s="1"/>
  <c r="C72" i="12"/>
  <c r="D72" i="12" s="1"/>
  <c r="E72" i="12" s="1"/>
  <c r="F72" i="12" s="1"/>
  <c r="G72" i="12" s="1"/>
  <c r="H72" i="12" s="1"/>
  <c r="A70" i="12"/>
  <c r="A69" i="12"/>
  <c r="A68" i="12"/>
  <c r="A67" i="12"/>
  <c r="A66" i="12"/>
  <c r="A65" i="12"/>
  <c r="A64" i="12"/>
  <c r="A63" i="12"/>
  <c r="A62" i="12"/>
  <c r="A61" i="12"/>
  <c r="A60" i="12"/>
  <c r="A59" i="12"/>
  <c r="A58" i="12"/>
  <c r="A57" i="12"/>
  <c r="A56" i="12"/>
  <c r="A55" i="12"/>
  <c r="A54" i="12"/>
  <c r="A53" i="12"/>
  <c r="A52" i="12"/>
  <c r="A51" i="12"/>
  <c r="A50" i="12"/>
  <c r="A49" i="12"/>
  <c r="A48" i="12"/>
  <c r="A47" i="12"/>
  <c r="A46" i="12"/>
  <c r="C44" i="12"/>
  <c r="D44" i="12" s="1"/>
  <c r="E44" i="12" s="1"/>
  <c r="F44" i="12" s="1"/>
  <c r="G44" i="12" s="1"/>
  <c r="H44" i="12" s="1"/>
  <c r="D39" i="12"/>
  <c r="D19" i="12"/>
  <c r="W12" i="12"/>
  <c r="X12" i="12" s="1"/>
  <c r="V12" i="12"/>
  <c r="T12" i="12"/>
  <c r="P12" i="12"/>
  <c r="Q12" i="12" s="1"/>
  <c r="R12" i="12" s="1"/>
  <c r="S12" i="12" s="1"/>
  <c r="K12" i="12"/>
  <c r="L12" i="12" s="1"/>
  <c r="M12" i="12" s="1"/>
  <c r="N12" i="12" s="1"/>
  <c r="B7" i="12"/>
  <c r="B9" i="12" s="1"/>
  <c r="C23" i="12" s="1"/>
  <c r="B114" i="11"/>
  <c r="C30" i="18" s="1"/>
  <c r="C83" i="18" s="1"/>
  <c r="C91" i="11"/>
  <c r="D91" i="11" s="1"/>
  <c r="E91" i="11" s="1"/>
  <c r="F91" i="11" s="1"/>
  <c r="G91" i="11" s="1"/>
  <c r="H91" i="11" s="1"/>
  <c r="A29" i="13"/>
  <c r="A86" i="13" s="1"/>
  <c r="A138" i="13" s="1"/>
  <c r="A196" i="13" s="1"/>
  <c r="A251" i="13" s="1"/>
  <c r="A25" i="13"/>
  <c r="A82" i="13" s="1"/>
  <c r="A134" i="13" s="1"/>
  <c r="A192" i="13" s="1"/>
  <c r="A247" i="13" s="1"/>
  <c r="A21" i="13"/>
  <c r="A78" i="13" s="1"/>
  <c r="A130" i="13" s="1"/>
  <c r="A188" i="13" s="1"/>
  <c r="A243" i="13" s="1"/>
  <c r="A17" i="13"/>
  <c r="A74" i="13" s="1"/>
  <c r="A126" i="13" s="1"/>
  <c r="A184" i="13" s="1"/>
  <c r="A239" i="13" s="1"/>
  <c r="A13" i="13"/>
  <c r="A70" i="13" s="1"/>
  <c r="A122" i="13" s="1"/>
  <c r="A180" i="13" s="1"/>
  <c r="A235" i="13" s="1"/>
  <c r="V12" i="11"/>
  <c r="W12" i="11" s="1"/>
  <c r="X12" i="11" s="1"/>
  <c r="P12" i="11"/>
  <c r="Q12" i="11" s="1"/>
  <c r="R12" i="11" s="1"/>
  <c r="S12" i="11" s="1"/>
  <c r="T12" i="11" s="1"/>
  <c r="K12" i="11"/>
  <c r="L12" i="11" s="1"/>
  <c r="M12" i="11" s="1"/>
  <c r="N12" i="11" s="1"/>
  <c r="B7" i="11"/>
  <c r="B9" i="11" s="1"/>
  <c r="D20" i="11" s="1"/>
  <c r="B99" i="11" s="1"/>
  <c r="I176" i="10"/>
  <c r="H176" i="10"/>
  <c r="G176" i="10"/>
  <c r="F176" i="10"/>
  <c r="E176" i="10"/>
  <c r="D176" i="10"/>
  <c r="C176" i="10"/>
  <c r="I161" i="10"/>
  <c r="H161" i="10"/>
  <c r="G161" i="10"/>
  <c r="F161" i="10"/>
  <c r="E161" i="10"/>
  <c r="D161" i="10"/>
  <c r="C161" i="10"/>
  <c r="I146" i="10"/>
  <c r="H146" i="10"/>
  <c r="G146" i="10"/>
  <c r="F146" i="10"/>
  <c r="E146" i="10"/>
  <c r="D146" i="10"/>
  <c r="C146" i="10"/>
  <c r="B146" i="10"/>
  <c r="B161" i="10" s="1"/>
  <c r="B176" i="10" s="1"/>
  <c r="B145" i="10"/>
  <c r="B160" i="10" s="1"/>
  <c r="B175" i="10" s="1"/>
  <c r="B144" i="10"/>
  <c r="B159" i="10" s="1"/>
  <c r="B174" i="10" s="1"/>
  <c r="B143" i="10"/>
  <c r="B158" i="10" s="1"/>
  <c r="B173" i="10" s="1"/>
  <c r="B142" i="10"/>
  <c r="B157" i="10" s="1"/>
  <c r="B172" i="10" s="1"/>
  <c r="B140" i="10"/>
  <c r="B155" i="10" s="1"/>
  <c r="B170" i="10" s="1"/>
  <c r="I131" i="10"/>
  <c r="H131" i="10"/>
  <c r="G131" i="10"/>
  <c r="F131" i="10"/>
  <c r="E131" i="10"/>
  <c r="D131" i="10"/>
  <c r="C131" i="10"/>
  <c r="B131" i="10"/>
  <c r="B130" i="10"/>
  <c r="B129" i="10"/>
  <c r="B128" i="10"/>
  <c r="B127" i="10"/>
  <c r="B126" i="10"/>
  <c r="B141" i="10" s="1"/>
  <c r="B156" i="10" s="1"/>
  <c r="B171" i="10" s="1"/>
  <c r="B125" i="10"/>
  <c r="B98" i="10"/>
  <c r="B97" i="10"/>
  <c r="B96" i="10"/>
  <c r="B95" i="10"/>
  <c r="C65" i="10"/>
  <c r="D65" i="10" s="1"/>
  <c r="E65" i="10" s="1"/>
  <c r="F65" i="10" s="1"/>
  <c r="G65" i="10" s="1"/>
  <c r="H65" i="10" s="1"/>
  <c r="I65" i="10" s="1"/>
  <c r="B37" i="10"/>
  <c r="B36" i="10"/>
  <c r="B35" i="10"/>
  <c r="B34" i="10"/>
  <c r="B33" i="10"/>
  <c r="B32" i="10"/>
  <c r="B9" i="9"/>
  <c r="H28" i="8"/>
  <c r="H27" i="8"/>
  <c r="H31" i="8" s="1"/>
  <c r="G27" i="8"/>
  <c r="F27" i="8"/>
  <c r="E27" i="8"/>
  <c r="D27" i="8"/>
  <c r="C27" i="8"/>
  <c r="B27" i="8"/>
  <c r="H43" i="7"/>
  <c r="G43" i="7"/>
  <c r="B33" i="7"/>
  <c r="B32" i="7"/>
  <c r="C31" i="7"/>
  <c r="B31" i="7"/>
  <c r="B30" i="7"/>
  <c r="B28" i="7"/>
  <c r="A23" i="7"/>
  <c r="A33" i="7" s="1"/>
  <c r="A22" i="7"/>
  <c r="A32" i="7" s="1"/>
  <c r="A21" i="7"/>
  <c r="A31" i="7" s="1"/>
  <c r="A20" i="7"/>
  <c r="A30" i="7" s="1"/>
  <c r="A19" i="7"/>
  <c r="A29" i="7" s="1"/>
  <c r="A18" i="7"/>
  <c r="A28" i="7" s="1"/>
  <c r="C10" i="7"/>
  <c r="B10" i="7"/>
  <c r="C52" i="6"/>
  <c r="C51" i="6"/>
  <c r="C50" i="6"/>
  <c r="C49" i="6"/>
  <c r="C48" i="6"/>
  <c r="C47" i="6"/>
  <c r="F38" i="6"/>
  <c r="E38"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P9" i="6" s="1"/>
  <c r="Q9" i="6" s="1"/>
  <c r="R9" i="6" s="1"/>
  <c r="N9" i="6"/>
  <c r="C9" i="6"/>
  <c r="V8" i="6"/>
  <c r="R8" i="6"/>
  <c r="Q8" i="6"/>
  <c r="P8" i="6"/>
  <c r="O8" i="6"/>
  <c r="I87" i="4"/>
  <c r="H87" i="4"/>
  <c r="A64" i="4"/>
  <c r="A63" i="4"/>
  <c r="A62" i="4"/>
  <c r="A61" i="4"/>
  <c r="E22" i="4"/>
  <c r="E21" i="4"/>
  <c r="E20" i="4"/>
  <c r="E19" i="4"/>
  <c r="E18" i="4"/>
  <c r="E17" i="4"/>
  <c r="E16" i="4"/>
  <c r="E15" i="4"/>
  <c r="E14" i="4"/>
  <c r="E13" i="4"/>
  <c r="E12" i="4"/>
  <c r="E11" i="4"/>
  <c r="E10" i="4"/>
  <c r="E9" i="4"/>
  <c r="E8" i="4"/>
  <c r="F4" i="4"/>
  <c r="F21" i="4" s="1"/>
  <c r="F95" i="3"/>
  <c r="F94" i="3"/>
  <c r="F93" i="3"/>
  <c r="H60" i="3"/>
  <c r="B166" i="19" s="1"/>
  <c r="G59" i="3"/>
  <c r="G21" i="3"/>
  <c r="G22" i="3" s="1"/>
  <c r="G11" i="3"/>
  <c r="G10" i="3"/>
  <c r="G9" i="3"/>
  <c r="M15" i="2"/>
  <c r="M17" i="2" s="1"/>
  <c r="C10" i="2"/>
  <c r="C9" i="2"/>
  <c r="C8" i="2"/>
  <c r="C7" i="2"/>
  <c r="C6" i="2"/>
  <c r="C5" i="2"/>
  <c r="G35" i="3" l="1"/>
  <c r="G38" i="3" s="1"/>
  <c r="B96" i="15"/>
  <c r="O11" i="6" s="1"/>
  <c r="P11" i="6" s="1"/>
  <c r="Q11" i="6" s="1"/>
  <c r="R11" i="6" s="1"/>
  <c r="R16" i="6" s="1"/>
  <c r="G53" i="3"/>
  <c r="G55" i="3" s="1"/>
  <c r="E89" i="13"/>
  <c r="G89" i="13"/>
  <c r="H89" i="13"/>
  <c r="F79" i="15"/>
  <c r="D33" i="15"/>
  <c r="E33" i="15" s="1"/>
  <c r="C114" i="11"/>
  <c r="A84" i="18"/>
  <c r="D14" i="11"/>
  <c r="K14" i="11" s="1"/>
  <c r="D15" i="11"/>
  <c r="B94" i="11" s="1"/>
  <c r="C10" i="18" s="1"/>
  <c r="C63" i="18" s="1"/>
  <c r="F20" i="11"/>
  <c r="H20" i="11" s="1"/>
  <c r="B48" i="11" s="1"/>
  <c r="C48" i="11" s="1"/>
  <c r="D48" i="11" s="1"/>
  <c r="E48" i="11" s="1"/>
  <c r="F48" i="11" s="1"/>
  <c r="G48" i="11" s="1"/>
  <c r="H48" i="11" s="1"/>
  <c r="D19" i="11"/>
  <c r="C23" i="11"/>
  <c r="D26" i="11" s="1"/>
  <c r="C32" i="11"/>
  <c r="D34" i="11" s="1"/>
  <c r="F34" i="11" s="1"/>
  <c r="H34" i="11" s="1"/>
  <c r="D18" i="11"/>
  <c r="F18" i="11" s="1"/>
  <c r="H18" i="11" s="1"/>
  <c r="B46" i="11" s="1"/>
  <c r="C46" i="11" s="1"/>
  <c r="D46" i="11" s="1"/>
  <c r="E46" i="11" s="1"/>
  <c r="F46" i="11" s="1"/>
  <c r="G46" i="11" s="1"/>
  <c r="H46" i="11" s="1"/>
  <c r="D22" i="11"/>
  <c r="F22" i="11" s="1"/>
  <c r="H22" i="11" s="1"/>
  <c r="E23" i="4"/>
  <c r="B35" i="7" s="1"/>
  <c r="B36" i="7" s="1"/>
  <c r="F74" i="3"/>
  <c r="D7" i="2" s="1"/>
  <c r="C17" i="9" s="1"/>
  <c r="F85" i="3"/>
  <c r="D8" i="2" s="1"/>
  <c r="C18" i="9" s="1"/>
  <c r="F96" i="3"/>
  <c r="D9" i="2" s="1"/>
  <c r="C19" i="9" s="1"/>
  <c r="G60" i="3"/>
  <c r="G12" i="3"/>
  <c r="D5" i="2" s="1"/>
  <c r="F8" i="4"/>
  <c r="F12" i="4"/>
  <c r="F16" i="4"/>
  <c r="F20" i="4"/>
  <c r="H62" i="3"/>
  <c r="F11" i="4"/>
  <c r="F15" i="4"/>
  <c r="F19" i="4"/>
  <c r="F86" i="4"/>
  <c r="E86" i="4"/>
  <c r="C20" i="9"/>
  <c r="D86" i="4"/>
  <c r="G86" i="4"/>
  <c r="C86" i="4"/>
  <c r="G4" i="4"/>
  <c r="F10" i="4"/>
  <c r="F14" i="4"/>
  <c r="F18" i="4"/>
  <c r="F22" i="4"/>
  <c r="V11" i="6"/>
  <c r="V16" i="6" s="1"/>
  <c r="F9" i="4"/>
  <c r="F13" i="4"/>
  <c r="F17" i="4"/>
  <c r="D30" i="12"/>
  <c r="D26" i="12"/>
  <c r="D31" i="12"/>
  <c r="D27" i="12"/>
  <c r="D28" i="12"/>
  <c r="D24" i="12"/>
  <c r="D25" i="12"/>
  <c r="D29" i="12"/>
  <c r="C157" i="10"/>
  <c r="C127" i="10"/>
  <c r="C34" i="10"/>
  <c r="C142" i="10"/>
  <c r="C172" i="10"/>
  <c r="C15" i="18"/>
  <c r="C68" i="18" s="1"/>
  <c r="C99" i="11"/>
  <c r="D157" i="10"/>
  <c r="D127" i="10"/>
  <c r="D34" i="10"/>
  <c r="D142" i="10"/>
  <c r="D172" i="10"/>
  <c r="I97" i="10"/>
  <c r="H111" i="10"/>
  <c r="I12" i="10"/>
  <c r="H61" i="10"/>
  <c r="I111" i="10"/>
  <c r="J12" i="10"/>
  <c r="I61" i="10"/>
  <c r="J97" i="10"/>
  <c r="D30" i="18"/>
  <c r="D83" i="18" s="1"/>
  <c r="D114" i="11"/>
  <c r="D14" i="12"/>
  <c r="B107" i="12"/>
  <c r="F19" i="12"/>
  <c r="H19" i="12" s="1"/>
  <c r="A36" i="13"/>
  <c r="A93" i="13" s="1"/>
  <c r="A145" i="13" s="1"/>
  <c r="A204" i="13" s="1"/>
  <c r="A258" i="13" s="1"/>
  <c r="A75" i="12"/>
  <c r="A77" i="12"/>
  <c r="A38" i="13"/>
  <c r="A95" i="13" s="1"/>
  <c r="A147" i="13" s="1"/>
  <c r="A206" i="13" s="1"/>
  <c r="A260" i="13" s="1"/>
  <c r="A79" i="12"/>
  <c r="A40" i="13"/>
  <c r="A97" i="13" s="1"/>
  <c r="A149" i="13" s="1"/>
  <c r="A208" i="13" s="1"/>
  <c r="A262" i="13" s="1"/>
  <c r="A81" i="12"/>
  <c r="A42" i="13"/>
  <c r="A99" i="13" s="1"/>
  <c r="A151" i="13" s="1"/>
  <c r="A210" i="13" s="1"/>
  <c r="A264" i="13" s="1"/>
  <c r="A83" i="12"/>
  <c r="A44" i="13"/>
  <c r="A101" i="13" s="1"/>
  <c r="A153" i="13" s="1"/>
  <c r="A212" i="13" s="1"/>
  <c r="A266" i="13" s="1"/>
  <c r="A85" i="12"/>
  <c r="A46" i="13"/>
  <c r="A103" i="13" s="1"/>
  <c r="A155" i="13" s="1"/>
  <c r="A214" i="13" s="1"/>
  <c r="A268" i="13" s="1"/>
  <c r="A87" i="12"/>
  <c r="A48" i="13"/>
  <c r="A105" i="13" s="1"/>
  <c r="A157" i="13" s="1"/>
  <c r="A216" i="13" s="1"/>
  <c r="A270" i="13" s="1"/>
  <c r="A89" i="12"/>
  <c r="A50" i="13"/>
  <c r="A107" i="13" s="1"/>
  <c r="A159" i="13" s="1"/>
  <c r="A218" i="13" s="1"/>
  <c r="A272" i="13" s="1"/>
  <c r="A91" i="12"/>
  <c r="A52" i="13"/>
  <c r="A109" i="13" s="1"/>
  <c r="A161" i="13" s="1"/>
  <c r="A220" i="13" s="1"/>
  <c r="A274" i="13" s="1"/>
  <c r="A54" i="13"/>
  <c r="A111" i="13" s="1"/>
  <c r="A163" i="13" s="1"/>
  <c r="A222" i="13" s="1"/>
  <c r="A93" i="12"/>
  <c r="A56" i="13"/>
  <c r="A113" i="13" s="1"/>
  <c r="A165" i="13" s="1"/>
  <c r="A224" i="13" s="1"/>
  <c r="A275" i="13" s="1"/>
  <c r="A95" i="12"/>
  <c r="A58" i="13"/>
  <c r="A115" i="13" s="1"/>
  <c r="A167" i="13" s="1"/>
  <c r="A226" i="13" s="1"/>
  <c r="A277" i="13" s="1"/>
  <c r="A97" i="12"/>
  <c r="G141" i="13"/>
  <c r="D40" i="12"/>
  <c r="D20" i="12"/>
  <c r="D16" i="12"/>
  <c r="D37" i="12"/>
  <c r="D21" i="12"/>
  <c r="D17" i="12"/>
  <c r="D38" i="12"/>
  <c r="C32" i="12"/>
  <c r="D22" i="12"/>
  <c r="D18" i="12"/>
  <c r="D15" i="12"/>
  <c r="B125" i="12"/>
  <c r="F39" i="12"/>
  <c r="H39" i="12" s="1"/>
  <c r="A35" i="13"/>
  <c r="A92" i="13" s="1"/>
  <c r="A144" i="13" s="1"/>
  <c r="A203" i="13" s="1"/>
  <c r="A257" i="13" s="1"/>
  <c r="A74" i="12"/>
  <c r="A76" i="12"/>
  <c r="A37" i="13"/>
  <c r="A94" i="13" s="1"/>
  <c r="A146" i="13" s="1"/>
  <c r="A205" i="13" s="1"/>
  <c r="A259" i="13" s="1"/>
  <c r="A78" i="12"/>
  <c r="A39" i="13"/>
  <c r="A96" i="13" s="1"/>
  <c r="A148" i="13" s="1"/>
  <c r="A207" i="13" s="1"/>
  <c r="A261" i="13" s="1"/>
  <c r="A80" i="12"/>
  <c r="A41" i="13"/>
  <c r="A98" i="13" s="1"/>
  <c r="A150" i="13" s="1"/>
  <c r="A209" i="13" s="1"/>
  <c r="A263" i="13" s="1"/>
  <c r="A82" i="12"/>
  <c r="A43" i="13"/>
  <c r="A100" i="13" s="1"/>
  <c r="A152" i="13" s="1"/>
  <c r="A211" i="13" s="1"/>
  <c r="A265" i="13" s="1"/>
  <c r="A84" i="12"/>
  <c r="A45" i="13"/>
  <c r="A102" i="13" s="1"/>
  <c r="A154" i="13" s="1"/>
  <c r="A213" i="13" s="1"/>
  <c r="A267" i="13" s="1"/>
  <c r="A86" i="12"/>
  <c r="A47" i="13"/>
  <c r="A104" i="13" s="1"/>
  <c r="A156" i="13" s="1"/>
  <c r="A215" i="13" s="1"/>
  <c r="A269" i="13" s="1"/>
  <c r="A88" i="12"/>
  <c r="A49" i="13"/>
  <c r="A106" i="13" s="1"/>
  <c r="A158" i="13" s="1"/>
  <c r="A217" i="13" s="1"/>
  <c r="A271" i="13" s="1"/>
  <c r="A90" i="12"/>
  <c r="A51" i="13"/>
  <c r="A108" i="13" s="1"/>
  <c r="A160" i="13" s="1"/>
  <c r="A219" i="13" s="1"/>
  <c r="A273" i="13" s="1"/>
  <c r="A92" i="12"/>
  <c r="A53" i="13"/>
  <c r="A110" i="13" s="1"/>
  <c r="A162" i="13" s="1"/>
  <c r="A221" i="13" s="1"/>
  <c r="A94" i="12"/>
  <c r="A55" i="13"/>
  <c r="A112" i="13" s="1"/>
  <c r="A164" i="13" s="1"/>
  <c r="A223" i="13" s="1"/>
  <c r="A57" i="13"/>
  <c r="A114" i="13" s="1"/>
  <c r="A166" i="13" s="1"/>
  <c r="A225" i="13" s="1"/>
  <c r="A276" i="13" s="1"/>
  <c r="A96" i="12"/>
  <c r="A59" i="13"/>
  <c r="A116" i="13" s="1"/>
  <c r="A168" i="13" s="1"/>
  <c r="A227" i="13" s="1"/>
  <c r="A278" i="13" s="1"/>
  <c r="A98" i="12"/>
  <c r="C44" i="19"/>
  <c r="E141" i="13"/>
  <c r="E254" i="13"/>
  <c r="C141" i="13"/>
  <c r="F31" i="17"/>
  <c r="E31" i="17"/>
  <c r="G31" i="17"/>
  <c r="D17" i="11"/>
  <c r="D21" i="11"/>
  <c r="A68" i="11"/>
  <c r="A69" i="11"/>
  <c r="A70" i="11"/>
  <c r="A71" i="11"/>
  <c r="A72" i="11"/>
  <c r="A73" i="11"/>
  <c r="A74" i="11"/>
  <c r="A75" i="11"/>
  <c r="A76" i="11"/>
  <c r="A77" i="11"/>
  <c r="A78" i="11"/>
  <c r="A79" i="11"/>
  <c r="A80" i="11"/>
  <c r="A81" i="11"/>
  <c r="A82" i="11"/>
  <c r="A83" i="11"/>
  <c r="A84" i="11"/>
  <c r="A85" i="11"/>
  <c r="A86" i="11"/>
  <c r="A87" i="11"/>
  <c r="A112" i="11" s="1"/>
  <c r="A29" i="18" s="1"/>
  <c r="A88" i="11"/>
  <c r="A113" i="11" s="1"/>
  <c r="A30" i="18" s="1"/>
  <c r="D254" i="13"/>
  <c r="B141" i="13"/>
  <c r="D199" i="13" s="1"/>
  <c r="D16" i="11"/>
  <c r="B95" i="11" s="1"/>
  <c r="D218" i="18"/>
  <c r="D151" i="18"/>
  <c r="D141" i="13"/>
  <c r="H141" i="13"/>
  <c r="E294" i="13"/>
  <c r="E301" i="13" s="1"/>
  <c r="C28" i="7" s="1"/>
  <c r="E280" i="13"/>
  <c r="E279" i="13"/>
  <c r="E255" i="13"/>
  <c r="F172" i="13"/>
  <c r="A147" i="18"/>
  <c r="A214" i="18" s="1"/>
  <c r="A79" i="18"/>
  <c r="F37" i="16"/>
  <c r="F43" i="16" s="1"/>
  <c r="D30" i="7" s="1"/>
  <c r="F27" i="16"/>
  <c r="G17" i="16"/>
  <c r="F28" i="16"/>
  <c r="J9" i="17"/>
  <c r="C29" i="17"/>
  <c r="G44" i="17"/>
  <c r="F44" i="17"/>
  <c r="E44" i="17"/>
  <c r="G52" i="17"/>
  <c r="G56" i="17" s="1"/>
  <c r="D31" i="7" s="1"/>
  <c r="H23" i="17"/>
  <c r="H37" i="17"/>
  <c r="E33" i="17"/>
  <c r="D34" i="15"/>
  <c r="F21" i="16"/>
  <c r="F23" i="16" s="1"/>
  <c r="C28" i="17"/>
  <c r="J8" i="17"/>
  <c r="C30" i="17"/>
  <c r="J10" i="17"/>
  <c r="C32" i="17"/>
  <c r="J12" i="17"/>
  <c r="F38" i="17"/>
  <c r="E38" i="17"/>
  <c r="H38" i="17"/>
  <c r="E9" i="16"/>
  <c r="F34" i="17"/>
  <c r="E34" i="17"/>
  <c r="H34" i="17"/>
  <c r="H36" i="17"/>
  <c r="G29" i="16"/>
  <c r="E37" i="16"/>
  <c r="E43" i="16" s="1"/>
  <c r="C30" i="7" s="1"/>
  <c r="G35" i="17"/>
  <c r="F36" i="17"/>
  <c r="E37" i="17"/>
  <c r="D29" i="16"/>
  <c r="D34" i="16" s="1"/>
  <c r="F33" i="17"/>
  <c r="H35" i="17"/>
  <c r="G36" i="17"/>
  <c r="F37" i="17"/>
  <c r="D219" i="18"/>
  <c r="D152" i="18"/>
  <c r="E29" i="16"/>
  <c r="E34" i="16" s="1"/>
  <c r="G33" i="17"/>
  <c r="E35" i="17"/>
  <c r="G37" i="17"/>
  <c r="E152" i="18"/>
  <c r="E219" i="18"/>
  <c r="A85" i="18"/>
  <c r="E266" i="18"/>
  <c r="E267" i="18"/>
  <c r="E268" i="18"/>
  <c r="E243" i="18"/>
  <c r="E214" i="18"/>
  <c r="F124" i="18"/>
  <c r="E205" i="18"/>
  <c r="E265" i="18"/>
  <c r="D41" i="19"/>
  <c r="E40" i="19"/>
  <c r="E181" i="19"/>
  <c r="F149" i="19"/>
  <c r="E180" i="19"/>
  <c r="E185" i="19" s="1"/>
  <c r="C33" i="7" s="1"/>
  <c r="C15" i="9" l="1"/>
  <c r="D29" i="11"/>
  <c r="L52" i="3"/>
  <c r="C55" i="4"/>
  <c r="K55" i="4" s="1"/>
  <c r="C49" i="4"/>
  <c r="G50" i="4" s="1"/>
  <c r="F7" i="2"/>
  <c r="F8" i="2"/>
  <c r="C61" i="4"/>
  <c r="H62" i="4" s="1"/>
  <c r="G79" i="15"/>
  <c r="F110" i="15"/>
  <c r="F115" i="15" s="1"/>
  <c r="D29" i="7" s="1"/>
  <c r="M14" i="11"/>
  <c r="F15" i="11"/>
  <c r="H15" i="11" s="1"/>
  <c r="B43" i="11" s="1"/>
  <c r="C43" i="11" s="1"/>
  <c r="D43" i="11" s="1"/>
  <c r="E43" i="11" s="1"/>
  <c r="F43" i="11" s="1"/>
  <c r="G43" i="11" s="1"/>
  <c r="H43" i="11" s="1"/>
  <c r="D33" i="11"/>
  <c r="F33" i="11" s="1"/>
  <c r="H33" i="11" s="1"/>
  <c r="B59" i="11" s="1"/>
  <c r="C59" i="11" s="1"/>
  <c r="D59" i="11" s="1"/>
  <c r="E59" i="11" s="1"/>
  <c r="F59" i="11" s="1"/>
  <c r="G59" i="11" s="1"/>
  <c r="H59" i="11" s="1"/>
  <c r="D27" i="11"/>
  <c r="F27" i="11" s="1"/>
  <c r="H27" i="11" s="1"/>
  <c r="B54" i="11" s="1"/>
  <c r="C54" i="11" s="1"/>
  <c r="D54" i="11" s="1"/>
  <c r="E54" i="11" s="1"/>
  <c r="F54" i="11" s="1"/>
  <c r="G54" i="11" s="1"/>
  <c r="H54" i="11" s="1"/>
  <c r="J14" i="11"/>
  <c r="D31" i="11"/>
  <c r="F31" i="11" s="1"/>
  <c r="H31" i="11" s="1"/>
  <c r="B58" i="11" s="1"/>
  <c r="C58" i="11" s="1"/>
  <c r="D58" i="11" s="1"/>
  <c r="E58" i="11" s="1"/>
  <c r="F58" i="11" s="1"/>
  <c r="G58" i="11" s="1"/>
  <c r="H58" i="11" s="1"/>
  <c r="F14" i="11"/>
  <c r="H14" i="11" s="1"/>
  <c r="B42" i="11" s="1"/>
  <c r="C42" i="11" s="1"/>
  <c r="D42" i="11" s="1"/>
  <c r="E42" i="11" s="1"/>
  <c r="F42" i="11" s="1"/>
  <c r="G42" i="11" s="1"/>
  <c r="H42" i="11" s="1"/>
  <c r="B93" i="11"/>
  <c r="C93" i="11" s="1"/>
  <c r="D30" i="11"/>
  <c r="B108" i="11" s="1"/>
  <c r="B76" i="11"/>
  <c r="B21" i="15" s="1"/>
  <c r="B45" i="15" s="1"/>
  <c r="B50" i="11"/>
  <c r="C50" i="11" s="1"/>
  <c r="D50" i="11" s="1"/>
  <c r="E50" i="11" s="1"/>
  <c r="F50" i="11" s="1"/>
  <c r="G50" i="11" s="1"/>
  <c r="H50" i="11" s="1"/>
  <c r="B86" i="11"/>
  <c r="B60" i="11"/>
  <c r="C60" i="11" s="1"/>
  <c r="D60" i="11" s="1"/>
  <c r="E60" i="11" s="1"/>
  <c r="F60" i="11" s="1"/>
  <c r="G60" i="11" s="1"/>
  <c r="H60" i="11" s="1"/>
  <c r="D35" i="11"/>
  <c r="F35" i="11" s="1"/>
  <c r="H35" i="11" s="1"/>
  <c r="B61" i="11" s="1"/>
  <c r="C61" i="11" s="1"/>
  <c r="D61" i="11" s="1"/>
  <c r="E61" i="11" s="1"/>
  <c r="F61" i="11" s="1"/>
  <c r="G61" i="11" s="1"/>
  <c r="H61" i="11" s="1"/>
  <c r="B74" i="11"/>
  <c r="B19" i="15" s="1"/>
  <c r="B43" i="15" s="1"/>
  <c r="D36" i="11"/>
  <c r="B113" i="11" s="1"/>
  <c r="B112" i="11"/>
  <c r="C28" i="18" s="1"/>
  <c r="C81" i="18" s="1"/>
  <c r="C94" i="11"/>
  <c r="D10" i="18" s="1"/>
  <c r="D63" i="18" s="1"/>
  <c r="D24" i="11"/>
  <c r="F24" i="11" s="1"/>
  <c r="H24" i="11" s="1"/>
  <c r="B51" i="11" s="1"/>
  <c r="C51" i="11" s="1"/>
  <c r="D51" i="11" s="1"/>
  <c r="E51" i="11" s="1"/>
  <c r="F51" i="11" s="1"/>
  <c r="G51" i="11" s="1"/>
  <c r="H51" i="11" s="1"/>
  <c r="N14" i="11"/>
  <c r="L14" i="11"/>
  <c r="B111" i="11"/>
  <c r="C27" i="18" s="1"/>
  <c r="C80" i="18" s="1"/>
  <c r="B19" i="13"/>
  <c r="B76" i="13" s="1"/>
  <c r="B101" i="11"/>
  <c r="C101" i="11" s="1"/>
  <c r="D101" i="11" s="1"/>
  <c r="E101" i="11" s="1"/>
  <c r="F101" i="11" s="1"/>
  <c r="G101" i="11" s="1"/>
  <c r="H101" i="11" s="1"/>
  <c r="B72" i="11"/>
  <c r="D28" i="11"/>
  <c r="D25" i="11"/>
  <c r="B97" i="11"/>
  <c r="C13" i="18" s="1"/>
  <c r="C66" i="18" s="1"/>
  <c r="B98" i="11"/>
  <c r="F19" i="11"/>
  <c r="H19" i="11" s="1"/>
  <c r="B47" i="11" s="1"/>
  <c r="C47" i="11" s="1"/>
  <c r="D47" i="11" s="1"/>
  <c r="E47" i="11" s="1"/>
  <c r="F47" i="11" s="1"/>
  <c r="G47" i="11" s="1"/>
  <c r="H47" i="11" s="1"/>
  <c r="L51" i="3"/>
  <c r="F9" i="2"/>
  <c r="C37" i="4"/>
  <c r="E38" i="4" s="1"/>
  <c r="Q16" i="6"/>
  <c r="P16" i="6"/>
  <c r="F5" i="2"/>
  <c r="E45" i="16"/>
  <c r="E47" i="16" s="1"/>
  <c r="C20" i="7"/>
  <c r="F51" i="6"/>
  <c r="E41" i="19"/>
  <c r="F40" i="19"/>
  <c r="F267" i="18"/>
  <c r="F268" i="18"/>
  <c r="F243" i="18"/>
  <c r="F265" i="18"/>
  <c r="F273" i="18" s="1"/>
  <c r="D32" i="7" s="1"/>
  <c r="F214" i="18"/>
  <c r="F205" i="18"/>
  <c r="F266" i="18"/>
  <c r="G124" i="18"/>
  <c r="F152" i="18"/>
  <c r="H32" i="17"/>
  <c r="G32" i="17"/>
  <c r="F32" i="17"/>
  <c r="E32" i="17"/>
  <c r="H28" i="17"/>
  <c r="G28" i="17"/>
  <c r="F28" i="17"/>
  <c r="E28" i="17"/>
  <c r="F294" i="13"/>
  <c r="F301" i="13" s="1"/>
  <c r="D28" i="7" s="1"/>
  <c r="F280" i="13"/>
  <c r="F279" i="13"/>
  <c r="F255" i="13"/>
  <c r="G172" i="13"/>
  <c r="F222" i="13"/>
  <c r="F223" i="13"/>
  <c r="F221" i="13"/>
  <c r="A31" i="15"/>
  <c r="A55" i="15" s="1"/>
  <c r="A111" i="11"/>
  <c r="A28" i="18" s="1"/>
  <c r="A27" i="15"/>
  <c r="A51" i="15" s="1"/>
  <c r="A107" i="11"/>
  <c r="A23" i="18" s="1"/>
  <c r="A23" i="15"/>
  <c r="A47" i="15" s="1"/>
  <c r="A103" i="11"/>
  <c r="A19" i="18" s="1"/>
  <c r="A19" i="15"/>
  <c r="A43" i="15" s="1"/>
  <c r="A99" i="11"/>
  <c r="A15" i="18" s="1"/>
  <c r="A15" i="15"/>
  <c r="A39" i="15" s="1"/>
  <c r="A95" i="11"/>
  <c r="A11" i="18" s="1"/>
  <c r="F17" i="11"/>
  <c r="H17" i="11" s="1"/>
  <c r="B45" i="11" s="1"/>
  <c r="C45" i="11" s="1"/>
  <c r="D45" i="11" s="1"/>
  <c r="E45" i="11" s="1"/>
  <c r="F45" i="11" s="1"/>
  <c r="G45" i="11" s="1"/>
  <c r="H45" i="11" s="1"/>
  <c r="B96" i="11"/>
  <c r="A37" i="19"/>
  <c r="A65" i="19" s="1"/>
  <c r="A135" i="19" s="1"/>
  <c r="A126" i="12"/>
  <c r="A57" i="18" s="1"/>
  <c r="A13" i="19"/>
  <c r="A44" i="19" s="1"/>
  <c r="A67" i="19" s="1"/>
  <c r="A102" i="12"/>
  <c r="A33" i="18" s="1"/>
  <c r="B106" i="12"/>
  <c r="F18" i="12"/>
  <c r="H18" i="12" s="1"/>
  <c r="B105" i="12"/>
  <c r="F17" i="12"/>
  <c r="H17" i="12" s="1"/>
  <c r="B108" i="12"/>
  <c r="F20" i="12"/>
  <c r="H20" i="12" s="1"/>
  <c r="A34" i="19"/>
  <c r="A62" i="19" s="1"/>
  <c r="A123" i="19" s="1"/>
  <c r="A123" i="12"/>
  <c r="A54" i="18" s="1"/>
  <c r="A14" i="19"/>
  <c r="A45" i="19" s="1"/>
  <c r="A71" i="19" s="1"/>
  <c r="A103" i="12"/>
  <c r="A34" i="18" s="1"/>
  <c r="E218" i="18"/>
  <c r="E151" i="18"/>
  <c r="D203" i="18"/>
  <c r="D136" i="18"/>
  <c r="B111" i="12"/>
  <c r="F24" i="12"/>
  <c r="H24" i="12" s="1"/>
  <c r="B113" i="12"/>
  <c r="F26" i="12"/>
  <c r="H26" i="12" s="1"/>
  <c r="C164" i="10"/>
  <c r="C179" i="10"/>
  <c r="C149" i="10"/>
  <c r="C134" i="10"/>
  <c r="C23" i="9"/>
  <c r="F43" i="7"/>
  <c r="G87" i="4"/>
  <c r="E43" i="7"/>
  <c r="F87" i="4"/>
  <c r="O16" i="6"/>
  <c r="F23" i="4"/>
  <c r="C35" i="7" s="1"/>
  <c r="F180" i="19"/>
  <c r="F185" i="19" s="1"/>
  <c r="D33" i="7" s="1"/>
  <c r="F181" i="19"/>
  <c r="G149" i="19"/>
  <c r="F219" i="18"/>
  <c r="H52" i="17"/>
  <c r="H56" i="17" s="1"/>
  <c r="E31" i="7" s="1"/>
  <c r="I23" i="17"/>
  <c r="H33" i="17"/>
  <c r="G37" i="16"/>
  <c r="G43" i="16" s="1"/>
  <c r="E30" i="7" s="1"/>
  <c r="G27" i="16"/>
  <c r="G34" i="16" s="1"/>
  <c r="H17" i="16"/>
  <c r="G28" i="16"/>
  <c r="F199" i="13"/>
  <c r="A30" i="15"/>
  <c r="A54" i="15" s="1"/>
  <c r="A110" i="11"/>
  <c r="A27" i="18" s="1"/>
  <c r="A26" i="15"/>
  <c r="A50" i="15" s="1"/>
  <c r="A106" i="11"/>
  <c r="A22" i="18" s="1"/>
  <c r="A22" i="15"/>
  <c r="A46" i="15" s="1"/>
  <c r="A102" i="11"/>
  <c r="A18" i="18" s="1"/>
  <c r="A18" i="15"/>
  <c r="A42" i="15" s="1"/>
  <c r="A98" i="11"/>
  <c r="A14" i="18" s="1"/>
  <c r="A14" i="15"/>
  <c r="A38" i="15" s="1"/>
  <c r="A94" i="11"/>
  <c r="A10" i="18" s="1"/>
  <c r="H31" i="17"/>
  <c r="G199" i="13"/>
  <c r="A33" i="19"/>
  <c r="A122" i="12"/>
  <c r="A53" i="18" s="1"/>
  <c r="A29" i="19"/>
  <c r="A60" i="19" s="1"/>
  <c r="A121" i="19" s="1"/>
  <c r="A118" i="12"/>
  <c r="A49" i="18" s="1"/>
  <c r="A25" i="19"/>
  <c r="A56" i="19" s="1"/>
  <c r="A114" i="19" s="1"/>
  <c r="A114" i="12"/>
  <c r="A45" i="18" s="1"/>
  <c r="A21" i="19"/>
  <c r="A52" i="19" s="1"/>
  <c r="A98" i="19" s="1"/>
  <c r="A110" i="12"/>
  <c r="A41" i="18" s="1"/>
  <c r="A17" i="19"/>
  <c r="A48" i="19" s="1"/>
  <c r="A83" i="19" s="1"/>
  <c r="A106" i="12"/>
  <c r="A37" i="18" s="1"/>
  <c r="B110" i="12"/>
  <c r="F22" i="12"/>
  <c r="H22" i="12" s="1"/>
  <c r="B109" i="12"/>
  <c r="F21" i="12"/>
  <c r="H21" i="12" s="1"/>
  <c r="B126" i="12"/>
  <c r="F40" i="12"/>
  <c r="H40" i="12" s="1"/>
  <c r="A30" i="19"/>
  <c r="A61" i="19" s="1"/>
  <c r="A122" i="19" s="1"/>
  <c r="A119" i="12"/>
  <c r="A50" i="18" s="1"/>
  <c r="A26" i="19"/>
  <c r="A57" i="19" s="1"/>
  <c r="A118" i="19" s="1"/>
  <c r="A115" i="12"/>
  <c r="A46" i="18" s="1"/>
  <c r="A22" i="19"/>
  <c r="A53" i="19" s="1"/>
  <c r="A102" i="19" s="1"/>
  <c r="A111" i="12"/>
  <c r="A42" i="18" s="1"/>
  <c r="A18" i="19"/>
  <c r="A49" i="19" s="1"/>
  <c r="A87" i="19" s="1"/>
  <c r="A107" i="12"/>
  <c r="A38" i="18" s="1"/>
  <c r="B104" i="11"/>
  <c r="F26" i="11"/>
  <c r="H26" i="11" s="1"/>
  <c r="B53" i="11" s="1"/>
  <c r="C53" i="11" s="1"/>
  <c r="D53" i="11" s="1"/>
  <c r="E53" i="11" s="1"/>
  <c r="F53" i="11" s="1"/>
  <c r="G53" i="11" s="1"/>
  <c r="H53" i="11" s="1"/>
  <c r="D198" i="18"/>
  <c r="D131" i="18"/>
  <c r="B115" i="12"/>
  <c r="F28" i="12"/>
  <c r="H28" i="12" s="1"/>
  <c r="B117" i="12"/>
  <c r="F30" i="12"/>
  <c r="H30" i="12" s="1"/>
  <c r="C43" i="7"/>
  <c r="D87" i="4"/>
  <c r="E273" i="18"/>
  <c r="C32" i="7" s="1"/>
  <c r="D45" i="16"/>
  <c r="D47" i="16" s="1"/>
  <c r="B20" i="7"/>
  <c r="E51" i="6"/>
  <c r="E10" i="16"/>
  <c r="G21" i="16" s="1"/>
  <c r="G23" i="16" s="1"/>
  <c r="F9" i="16"/>
  <c r="H30" i="17"/>
  <c r="G30" i="17"/>
  <c r="F30" i="17"/>
  <c r="I30" i="17"/>
  <c r="E30" i="17"/>
  <c r="D10" i="7"/>
  <c r="G38" i="6"/>
  <c r="F29" i="17"/>
  <c r="I29" i="17"/>
  <c r="E29" i="17"/>
  <c r="H29" i="17"/>
  <c r="G29" i="17"/>
  <c r="F34" i="16"/>
  <c r="F254" i="13"/>
  <c r="F16" i="11"/>
  <c r="H16" i="11" s="1"/>
  <c r="B44" i="11" s="1"/>
  <c r="C44" i="11" s="1"/>
  <c r="D44" i="11" s="1"/>
  <c r="E44" i="11" s="1"/>
  <c r="F44" i="11" s="1"/>
  <c r="G44" i="11" s="1"/>
  <c r="H44" i="11" s="1"/>
  <c r="A151" i="18"/>
  <c r="A218" i="18" s="1"/>
  <c r="A83" i="18"/>
  <c r="A29" i="15"/>
  <c r="A53" i="15" s="1"/>
  <c r="A109" i="11"/>
  <c r="A25" i="18" s="1"/>
  <c r="A25" i="15"/>
  <c r="A49" i="15" s="1"/>
  <c r="A105" i="11"/>
  <c r="A21" i="18" s="1"/>
  <c r="A21" i="15"/>
  <c r="A45" i="15" s="1"/>
  <c r="A101" i="11"/>
  <c r="A17" i="15"/>
  <c r="A41" i="15" s="1"/>
  <c r="A97" i="11"/>
  <c r="A13" i="18" s="1"/>
  <c r="A13" i="15"/>
  <c r="A37" i="15" s="1"/>
  <c r="A93" i="11"/>
  <c r="A9" i="18" s="1"/>
  <c r="E199" i="13"/>
  <c r="A35" i="19"/>
  <c r="A63" i="19" s="1"/>
  <c r="A127" i="19" s="1"/>
  <c r="A124" i="12"/>
  <c r="A55" i="18" s="1"/>
  <c r="B97" i="12"/>
  <c r="B69" i="12"/>
  <c r="D36" i="12"/>
  <c r="D33" i="12"/>
  <c r="D34" i="12"/>
  <c r="D35" i="12"/>
  <c r="B123" i="12"/>
  <c r="F37" i="12"/>
  <c r="H37" i="12" s="1"/>
  <c r="A36" i="19"/>
  <c r="A64" i="19" s="1"/>
  <c r="A131" i="19" s="1"/>
  <c r="A125" i="12"/>
  <c r="A56" i="18" s="1"/>
  <c r="A32" i="19"/>
  <c r="A121" i="12"/>
  <c r="A52" i="18" s="1"/>
  <c r="B51" i="12"/>
  <c r="B79" i="12"/>
  <c r="F29" i="11"/>
  <c r="H29" i="11" s="1"/>
  <c r="B56" i="11" s="1"/>
  <c r="C56" i="11" s="1"/>
  <c r="D56" i="11" s="1"/>
  <c r="E56" i="11" s="1"/>
  <c r="F56" i="11" s="1"/>
  <c r="G56" i="11" s="1"/>
  <c r="H56" i="11" s="1"/>
  <c r="B107" i="11"/>
  <c r="B102" i="12"/>
  <c r="N14" i="12"/>
  <c r="H74" i="12" s="1"/>
  <c r="H13" i="19" s="1"/>
  <c r="J14" i="12"/>
  <c r="D74" i="12" s="1"/>
  <c r="D13" i="19" s="1"/>
  <c r="M14" i="12"/>
  <c r="G74" i="12" s="1"/>
  <c r="G13" i="19" s="1"/>
  <c r="L14" i="12"/>
  <c r="F74" i="12" s="1"/>
  <c r="F13" i="19" s="1"/>
  <c r="F14" i="12"/>
  <c r="H14" i="12" s="1"/>
  <c r="K14" i="12"/>
  <c r="E74" i="12" s="1"/>
  <c r="E13" i="19" s="1"/>
  <c r="B17" i="13"/>
  <c r="B74" i="13" s="1"/>
  <c r="B116" i="12"/>
  <c r="F29" i="12"/>
  <c r="H29" i="12" s="1"/>
  <c r="B114" i="12"/>
  <c r="F27" i="12"/>
  <c r="H27" i="12" s="1"/>
  <c r="G22" i="4"/>
  <c r="G18" i="4"/>
  <c r="G14" i="4"/>
  <c r="G10" i="4"/>
  <c r="H4" i="4"/>
  <c r="G19" i="4"/>
  <c r="G15" i="4"/>
  <c r="G11" i="4"/>
  <c r="G20" i="4"/>
  <c r="G16" i="4"/>
  <c r="G12" i="4"/>
  <c r="G8" i="4"/>
  <c r="G21" i="4"/>
  <c r="G17" i="4"/>
  <c r="G13" i="4"/>
  <c r="G9" i="4"/>
  <c r="F62" i="4"/>
  <c r="C43" i="17"/>
  <c r="F33" i="15"/>
  <c r="E34" i="15"/>
  <c r="H44" i="17"/>
  <c r="A150" i="18"/>
  <c r="A217" i="18" s="1"/>
  <c r="A82" i="18"/>
  <c r="A28" i="15"/>
  <c r="A52" i="15" s="1"/>
  <c r="A108" i="11"/>
  <c r="A24" i="18" s="1"/>
  <c r="A24" i="15"/>
  <c r="A48" i="15" s="1"/>
  <c r="A104" i="11"/>
  <c r="A20" i="18" s="1"/>
  <c r="A20" i="15"/>
  <c r="A44" i="15" s="1"/>
  <c r="A100" i="11"/>
  <c r="A16" i="18" s="1"/>
  <c r="A16" i="15"/>
  <c r="A40" i="15" s="1"/>
  <c r="A96" i="11"/>
  <c r="A12" i="18" s="1"/>
  <c r="F21" i="11"/>
  <c r="H21" i="11" s="1"/>
  <c r="B49" i="11" s="1"/>
  <c r="C49" i="11" s="1"/>
  <c r="D49" i="11" s="1"/>
  <c r="E49" i="11" s="1"/>
  <c r="F49" i="11" s="1"/>
  <c r="G49" i="11" s="1"/>
  <c r="H49" i="11" s="1"/>
  <c r="B100" i="11"/>
  <c r="A31" i="19"/>
  <c r="A120" i="12"/>
  <c r="A51" i="18" s="1"/>
  <c r="A27" i="19"/>
  <c r="A58" i="19" s="1"/>
  <c r="A119" i="19" s="1"/>
  <c r="A116" i="12"/>
  <c r="A47" i="18" s="1"/>
  <c r="A23" i="19"/>
  <c r="A54" i="19" s="1"/>
  <c r="A106" i="19" s="1"/>
  <c r="A112" i="12"/>
  <c r="A43" i="18" s="1"/>
  <c r="A19" i="19"/>
  <c r="A50" i="19" s="1"/>
  <c r="A91" i="19" s="1"/>
  <c r="A108" i="12"/>
  <c r="A39" i="18" s="1"/>
  <c r="A15" i="19"/>
  <c r="A46" i="19" s="1"/>
  <c r="A75" i="19" s="1"/>
  <c r="A104" i="12"/>
  <c r="A35" i="18" s="1"/>
  <c r="C56" i="18"/>
  <c r="C109" i="18" s="1"/>
  <c r="C125" i="12"/>
  <c r="B103" i="12"/>
  <c r="F15" i="12"/>
  <c r="H15" i="12" s="1"/>
  <c r="B124" i="12"/>
  <c r="F38" i="12"/>
  <c r="H38" i="12" s="1"/>
  <c r="B104" i="12"/>
  <c r="F16" i="12"/>
  <c r="H16" i="12" s="1"/>
  <c r="A28" i="19"/>
  <c r="A59" i="19" s="1"/>
  <c r="A120" i="19" s="1"/>
  <c r="A117" i="12"/>
  <c r="A48" i="18" s="1"/>
  <c r="A24" i="19"/>
  <c r="A55" i="19" s="1"/>
  <c r="A110" i="19" s="1"/>
  <c r="A113" i="12"/>
  <c r="A44" i="18" s="1"/>
  <c r="A20" i="19"/>
  <c r="A51" i="19" s="1"/>
  <c r="A94" i="19" s="1"/>
  <c r="A109" i="12"/>
  <c r="A40" i="18" s="1"/>
  <c r="A16" i="19"/>
  <c r="A47" i="19" s="1"/>
  <c r="A79" i="19" s="1"/>
  <c r="A105" i="12"/>
  <c r="A36" i="18" s="1"/>
  <c r="C38" i="18"/>
  <c r="C91" i="18" s="1"/>
  <c r="C107" i="12"/>
  <c r="E30" i="18"/>
  <c r="E83" i="18" s="1"/>
  <c r="E114" i="11"/>
  <c r="D15" i="18"/>
  <c r="D68" i="18" s="1"/>
  <c r="D99" i="11"/>
  <c r="B112" i="12"/>
  <c r="F25" i="12"/>
  <c r="H25" i="12" s="1"/>
  <c r="B118" i="12"/>
  <c r="F31" i="12"/>
  <c r="H31" i="12" s="1"/>
  <c r="B43" i="7"/>
  <c r="D12" i="10" s="1"/>
  <c r="C87" i="4"/>
  <c r="D43" i="7"/>
  <c r="E87" i="4"/>
  <c r="H56" i="4" l="1"/>
  <c r="E56" i="4"/>
  <c r="F56" i="4"/>
  <c r="C56" i="4"/>
  <c r="C57" i="4" s="1"/>
  <c r="G56" i="4"/>
  <c r="F38" i="4"/>
  <c r="D38" i="4"/>
  <c r="D56" i="4"/>
  <c r="D57" i="4" s="1"/>
  <c r="I56" i="4"/>
  <c r="F50" i="4"/>
  <c r="I50" i="4"/>
  <c r="K49" i="4"/>
  <c r="K50" i="4" s="1"/>
  <c r="H38" i="4"/>
  <c r="C38" i="4"/>
  <c r="C39" i="4" s="1"/>
  <c r="G38" i="4"/>
  <c r="I38" i="4"/>
  <c r="K37" i="4"/>
  <c r="K38" i="4" s="1"/>
  <c r="K39" i="4" s="1"/>
  <c r="D50" i="4"/>
  <c r="C62" i="4"/>
  <c r="C63" i="4" s="1"/>
  <c r="G62" i="4"/>
  <c r="E62" i="4"/>
  <c r="I62" i="4"/>
  <c r="D62" i="4"/>
  <c r="C50" i="4"/>
  <c r="C52" i="4" s="1"/>
  <c r="D49" i="4" s="1"/>
  <c r="H50" i="4"/>
  <c r="E50" i="4"/>
  <c r="K61" i="4"/>
  <c r="K62" i="4" s="1"/>
  <c r="K63" i="4" s="1"/>
  <c r="G110" i="15"/>
  <c r="G115" i="15" s="1"/>
  <c r="E29" i="7" s="1"/>
  <c r="H79" i="15"/>
  <c r="C9" i="18"/>
  <c r="C62" i="18" s="1"/>
  <c r="B105" i="11"/>
  <c r="C21" i="18" s="1"/>
  <c r="C74" i="18" s="1"/>
  <c r="F36" i="11"/>
  <c r="H36" i="11" s="1"/>
  <c r="B62" i="11" s="1"/>
  <c r="C62" i="11" s="1"/>
  <c r="D62" i="11" s="1"/>
  <c r="E62" i="11" s="1"/>
  <c r="F62" i="11" s="1"/>
  <c r="G62" i="11" s="1"/>
  <c r="H62" i="11" s="1"/>
  <c r="C74" i="11"/>
  <c r="C19" i="15" s="1"/>
  <c r="C43" i="15" s="1"/>
  <c r="B68" i="11"/>
  <c r="B13" i="15" s="1"/>
  <c r="B110" i="11"/>
  <c r="C110" i="11" s="1"/>
  <c r="D110" i="11" s="1"/>
  <c r="E110" i="11" s="1"/>
  <c r="F110" i="11" s="1"/>
  <c r="G110" i="11" s="1"/>
  <c r="H110" i="11" s="1"/>
  <c r="B102" i="11"/>
  <c r="C18" i="18" s="1"/>
  <c r="C71" i="18" s="1"/>
  <c r="B69" i="11"/>
  <c r="C69" i="11" s="1"/>
  <c r="F30" i="11"/>
  <c r="H30" i="11" s="1"/>
  <c r="B57" i="11" s="1"/>
  <c r="C57" i="11" s="1"/>
  <c r="D57" i="11" s="1"/>
  <c r="E57" i="11" s="1"/>
  <c r="F57" i="11" s="1"/>
  <c r="G57" i="11" s="1"/>
  <c r="H57" i="11" s="1"/>
  <c r="B87" i="11"/>
  <c r="C87" i="11" s="1"/>
  <c r="D87" i="11" s="1"/>
  <c r="E87" i="11" s="1"/>
  <c r="F87" i="11" s="1"/>
  <c r="G87" i="11" s="1"/>
  <c r="H87" i="11" s="1"/>
  <c r="D94" i="11"/>
  <c r="E94" i="11" s="1"/>
  <c r="B109" i="11"/>
  <c r="C109" i="11" s="1"/>
  <c r="C76" i="11"/>
  <c r="C112" i="11"/>
  <c r="D28" i="18" s="1"/>
  <c r="D81" i="18" s="1"/>
  <c r="C97" i="11"/>
  <c r="D97" i="11" s="1"/>
  <c r="C86" i="11"/>
  <c r="B31" i="15"/>
  <c r="B55" i="15" s="1"/>
  <c r="C111" i="11"/>
  <c r="D111" i="11" s="1"/>
  <c r="B29" i="13"/>
  <c r="B86" i="13" s="1"/>
  <c r="D251" i="13" s="1"/>
  <c r="B73" i="11"/>
  <c r="F28" i="11"/>
  <c r="H28" i="11" s="1"/>
  <c r="B55" i="11" s="1"/>
  <c r="C55" i="11" s="1"/>
  <c r="D55" i="11" s="1"/>
  <c r="E55" i="11" s="1"/>
  <c r="F55" i="11" s="1"/>
  <c r="G55" i="11" s="1"/>
  <c r="H55" i="11" s="1"/>
  <c r="B106" i="11"/>
  <c r="B103" i="11"/>
  <c r="F25" i="11"/>
  <c r="H25" i="11" s="1"/>
  <c r="B52" i="11" s="1"/>
  <c r="C52" i="11" s="1"/>
  <c r="D52" i="11" s="1"/>
  <c r="E52" i="11" s="1"/>
  <c r="F52" i="11" s="1"/>
  <c r="G52" i="11" s="1"/>
  <c r="H52" i="11" s="1"/>
  <c r="C14" i="18"/>
  <c r="C67" i="18" s="1"/>
  <c r="C98" i="11"/>
  <c r="B15" i="13"/>
  <c r="B72" i="13" s="1"/>
  <c r="B17" i="15"/>
  <c r="B41" i="15" s="1"/>
  <c r="C72" i="11"/>
  <c r="C36" i="7"/>
  <c r="D179" i="10" s="1"/>
  <c r="G62" i="3"/>
  <c r="D6" i="2" s="1"/>
  <c r="B90" i="12"/>
  <c r="B62" i="12"/>
  <c r="C105" i="11"/>
  <c r="A169" i="18"/>
  <c r="A236" i="18" s="1"/>
  <c r="A101" i="18"/>
  <c r="B76" i="12"/>
  <c r="B48" i="12"/>
  <c r="D56" i="18"/>
  <c r="D109" i="18" s="1"/>
  <c r="D125" i="12"/>
  <c r="A137" i="18"/>
  <c r="A204" i="18" s="1"/>
  <c r="A69" i="18"/>
  <c r="E111" i="10"/>
  <c r="F12" i="10"/>
  <c r="E61" i="10"/>
  <c r="F97" i="10"/>
  <c r="C49" i="18"/>
  <c r="C102" i="18" s="1"/>
  <c r="C118" i="12"/>
  <c r="E203" i="18"/>
  <c r="E136" i="18"/>
  <c r="B80" i="11"/>
  <c r="D159" i="18"/>
  <c r="D226" i="18"/>
  <c r="B77" i="11"/>
  <c r="C35" i="18"/>
  <c r="C88" i="18" s="1"/>
  <c r="C104" i="12"/>
  <c r="C34" i="18"/>
  <c r="C87" i="18" s="1"/>
  <c r="C103" i="12"/>
  <c r="D177" i="18"/>
  <c r="D241" i="18"/>
  <c r="B75" i="11"/>
  <c r="G23" i="4"/>
  <c r="D35" i="7" s="1"/>
  <c r="D36" i="7" s="1"/>
  <c r="B86" i="12"/>
  <c r="B58" i="12"/>
  <c r="C17" i="13"/>
  <c r="C74" i="13" s="1"/>
  <c r="C33" i="18"/>
  <c r="C86" i="18" s="1"/>
  <c r="C102" i="12"/>
  <c r="B82" i="11"/>
  <c r="B40" i="13"/>
  <c r="B97" i="13" s="1"/>
  <c r="C51" i="12"/>
  <c r="C54" i="18"/>
  <c r="C107" i="18" s="1"/>
  <c r="C123" i="12"/>
  <c r="B122" i="12"/>
  <c r="F36" i="12"/>
  <c r="H36" i="12" s="1"/>
  <c r="B36" i="19"/>
  <c r="B64" i="19" s="1"/>
  <c r="C97" i="12"/>
  <c r="A130" i="18"/>
  <c r="A197" i="18" s="1"/>
  <c r="A62" i="18"/>
  <c r="A146" i="18"/>
  <c r="A213" i="18" s="1"/>
  <c r="A78" i="18"/>
  <c r="C11" i="18"/>
  <c r="C64" i="18" s="1"/>
  <c r="C95" i="11"/>
  <c r="E157" i="10"/>
  <c r="E172" i="10"/>
  <c r="E142" i="10"/>
  <c r="E127" i="10"/>
  <c r="E34" i="10"/>
  <c r="B61" i="12"/>
  <c r="B89" i="12"/>
  <c r="A163" i="18"/>
  <c r="A230" i="18" s="1"/>
  <c r="A95" i="18"/>
  <c r="A171" i="18"/>
  <c r="A238" i="18" s="1"/>
  <c r="A103" i="18"/>
  <c r="B98" i="12"/>
  <c r="B70" i="12"/>
  <c r="B82" i="12"/>
  <c r="B54" i="12"/>
  <c r="A162" i="18"/>
  <c r="A229" i="18" s="1"/>
  <c r="A94" i="18"/>
  <c r="A170" i="18"/>
  <c r="A237" i="18" s="1"/>
  <c r="A102" i="18"/>
  <c r="A135" i="18"/>
  <c r="A202" i="18" s="1"/>
  <c r="A67" i="18"/>
  <c r="A143" i="18"/>
  <c r="A210" i="18" s="1"/>
  <c r="A75" i="18"/>
  <c r="H149" i="19"/>
  <c r="G181" i="19"/>
  <c r="G180" i="19"/>
  <c r="B55" i="12"/>
  <c r="B83" i="12"/>
  <c r="E10" i="18"/>
  <c r="E63" i="18" s="1"/>
  <c r="C29" i="13"/>
  <c r="C86" i="13" s="1"/>
  <c r="A155" i="18"/>
  <c r="A222" i="18" s="1"/>
  <c r="A87" i="18"/>
  <c r="B85" i="11"/>
  <c r="C36" i="18"/>
  <c r="C89" i="18" s="1"/>
  <c r="C105" i="12"/>
  <c r="B71" i="11"/>
  <c r="G294" i="13"/>
  <c r="G301" i="13" s="1"/>
  <c r="E28" i="7" s="1"/>
  <c r="G280" i="13"/>
  <c r="G279" i="13"/>
  <c r="H172" i="13"/>
  <c r="G255" i="13"/>
  <c r="G223" i="13"/>
  <c r="G221" i="13"/>
  <c r="G254" i="13"/>
  <c r="G222" i="13"/>
  <c r="F39" i="17"/>
  <c r="H39" i="17"/>
  <c r="C43" i="18"/>
  <c r="C96" i="18" s="1"/>
  <c r="C112" i="12"/>
  <c r="B84" i="12"/>
  <c r="B56" i="12"/>
  <c r="F30" i="18"/>
  <c r="F83" i="18" s="1"/>
  <c r="F114" i="11"/>
  <c r="D9" i="18"/>
  <c r="D62" i="18" s="1"/>
  <c r="D93" i="11"/>
  <c r="A157" i="18"/>
  <c r="A224" i="18" s="1"/>
  <c r="A89" i="18"/>
  <c r="A165" i="18"/>
  <c r="A232" i="18" s="1"/>
  <c r="A97" i="18"/>
  <c r="B11" i="13"/>
  <c r="B96" i="12"/>
  <c r="B68" i="12"/>
  <c r="A156" i="18"/>
  <c r="A223" i="18" s="1"/>
  <c r="A88" i="18"/>
  <c r="A164" i="18"/>
  <c r="A231" i="18" s="1"/>
  <c r="A96" i="18"/>
  <c r="A172" i="18"/>
  <c r="A104" i="18"/>
  <c r="A133" i="18"/>
  <c r="A200" i="18" s="1"/>
  <c r="A65" i="18"/>
  <c r="A141" i="18"/>
  <c r="A208" i="18" s="1"/>
  <c r="A73" i="18"/>
  <c r="C45" i="18"/>
  <c r="C98" i="18" s="1"/>
  <c r="C114" i="12"/>
  <c r="D239" i="13"/>
  <c r="B126" i="13"/>
  <c r="D184" i="13" s="1"/>
  <c r="A105" i="18"/>
  <c r="A173" i="18"/>
  <c r="B12" i="13"/>
  <c r="B69" i="13" s="1"/>
  <c r="B121" i="12"/>
  <c r="F35" i="12"/>
  <c r="H35" i="12" s="1"/>
  <c r="C19" i="13"/>
  <c r="C76" i="13" s="1"/>
  <c r="A176" i="18"/>
  <c r="A240" i="18" s="1"/>
  <c r="A108" i="18"/>
  <c r="B70" i="11"/>
  <c r="G9" i="16"/>
  <c r="F10" i="16"/>
  <c r="H21" i="16" s="1"/>
  <c r="H23" i="16" s="1"/>
  <c r="C48" i="18"/>
  <c r="C101" i="18" s="1"/>
  <c r="C117" i="12"/>
  <c r="C57" i="18"/>
  <c r="C110" i="18" s="1"/>
  <c r="C126" i="12"/>
  <c r="C41" i="18"/>
  <c r="C94" i="18" s="1"/>
  <c r="C110" i="12"/>
  <c r="F61" i="10"/>
  <c r="G97" i="10"/>
  <c r="F111" i="10"/>
  <c r="G12" i="10"/>
  <c r="C42" i="18"/>
  <c r="C95" i="18" s="1"/>
  <c r="C111" i="12"/>
  <c r="E198" i="18"/>
  <c r="E131" i="18"/>
  <c r="B138" i="13"/>
  <c r="D196" i="13" s="1"/>
  <c r="B80" i="12"/>
  <c r="B52" i="12"/>
  <c r="B78" i="12"/>
  <c r="B50" i="12"/>
  <c r="A178" i="18"/>
  <c r="A242" i="18" s="1"/>
  <c r="A110" i="18"/>
  <c r="A132" i="18"/>
  <c r="A199" i="18" s="1"/>
  <c r="A64" i="18"/>
  <c r="A140" i="18"/>
  <c r="A207" i="18" s="1"/>
  <c r="A72" i="18"/>
  <c r="A149" i="18"/>
  <c r="A216" i="18" s="1"/>
  <c r="A81" i="18"/>
  <c r="G268" i="18"/>
  <c r="G243" i="18"/>
  <c r="G265" i="18"/>
  <c r="G273" i="18" s="1"/>
  <c r="E32" i="7" s="1"/>
  <c r="G214" i="18"/>
  <c r="G205" i="18"/>
  <c r="G266" i="18"/>
  <c r="H124" i="18"/>
  <c r="G267" i="18"/>
  <c r="G152" i="18"/>
  <c r="G219" i="18"/>
  <c r="C61" i="10"/>
  <c r="D97" i="10"/>
  <c r="C111" i="10"/>
  <c r="F218" i="18"/>
  <c r="F151" i="18"/>
  <c r="D197" i="18"/>
  <c r="D130" i="18"/>
  <c r="C55" i="18"/>
  <c r="C108" i="18" s="1"/>
  <c r="C124" i="12"/>
  <c r="G33" i="15"/>
  <c r="F34" i="15"/>
  <c r="B88" i="12"/>
  <c r="B60" i="12"/>
  <c r="E44" i="19"/>
  <c r="D44" i="19"/>
  <c r="C24" i="18"/>
  <c r="C77" i="18" s="1"/>
  <c r="C108" i="11"/>
  <c r="D201" i="18"/>
  <c r="D134" i="18"/>
  <c r="B120" i="12"/>
  <c r="F34" i="12"/>
  <c r="H34" i="12" s="1"/>
  <c r="D241" i="13"/>
  <c r="B128" i="13"/>
  <c r="D186" i="13" s="1"/>
  <c r="A134" i="18"/>
  <c r="A201" i="18" s="1"/>
  <c r="A66" i="18"/>
  <c r="A142" i="18"/>
  <c r="A209" i="18" s="1"/>
  <c r="A74" i="18"/>
  <c r="E10" i="7"/>
  <c r="H38" i="6"/>
  <c r="B59" i="12"/>
  <c r="B87" i="12"/>
  <c r="B79" i="11"/>
  <c r="A159" i="18"/>
  <c r="A226" i="18" s="1"/>
  <c r="A91" i="18"/>
  <c r="A167" i="18"/>
  <c r="A234" i="18" s="1"/>
  <c r="A99" i="18"/>
  <c r="C29" i="18"/>
  <c r="C82" i="18" s="1"/>
  <c r="C113" i="11"/>
  <c r="B53" i="12"/>
  <c r="B81" i="12"/>
  <c r="A158" i="18"/>
  <c r="A225" i="18" s="1"/>
  <c r="A90" i="18"/>
  <c r="A166" i="18"/>
  <c r="A233" i="18" s="1"/>
  <c r="A98" i="18"/>
  <c r="A174" i="18"/>
  <c r="A106" i="18"/>
  <c r="A131" i="18"/>
  <c r="A198" i="18" s="1"/>
  <c r="A63" i="18"/>
  <c r="A139" i="18"/>
  <c r="A206" i="18" s="1"/>
  <c r="A71" i="18"/>
  <c r="A148" i="18"/>
  <c r="A215" i="18" s="1"/>
  <c r="A80" i="18"/>
  <c r="H27" i="16"/>
  <c r="I17" i="16"/>
  <c r="H28" i="16"/>
  <c r="H37" i="16"/>
  <c r="H43" i="16" s="1"/>
  <c r="F30" i="7" s="1"/>
  <c r="H29" i="16"/>
  <c r="I52" i="17"/>
  <c r="I56" i="17" s="1"/>
  <c r="F31" i="7" s="1"/>
  <c r="J23" i="17"/>
  <c r="I36" i="17"/>
  <c r="I31" i="17"/>
  <c r="I35" i="17"/>
  <c r="I33" i="17"/>
  <c r="I34" i="17"/>
  <c r="I44" i="17"/>
  <c r="I37" i="17"/>
  <c r="I38" i="17"/>
  <c r="B57" i="12"/>
  <c r="B85" i="12"/>
  <c r="A175" i="18"/>
  <c r="A239" i="18" s="1"/>
  <c r="A107" i="18"/>
  <c r="C39" i="18"/>
  <c r="C92" i="18" s="1"/>
  <c r="C108" i="12"/>
  <c r="C37" i="18"/>
  <c r="C90" i="18" s="1"/>
  <c r="C106" i="12"/>
  <c r="D216" i="18"/>
  <c r="D149" i="18"/>
  <c r="E39" i="17"/>
  <c r="G39" i="17"/>
  <c r="I32" i="17"/>
  <c r="E15" i="18"/>
  <c r="E68" i="18" s="1"/>
  <c r="E99" i="11"/>
  <c r="D38" i="18"/>
  <c r="D91" i="18" s="1"/>
  <c r="D107" i="12"/>
  <c r="A161" i="18"/>
  <c r="A228" i="18" s="1"/>
  <c r="A93" i="18"/>
  <c r="B75" i="12"/>
  <c r="B47" i="12"/>
  <c r="A160" i="18"/>
  <c r="A227" i="18" s="1"/>
  <c r="A92" i="18"/>
  <c r="A168" i="18"/>
  <c r="A235" i="18" s="1"/>
  <c r="A100" i="18"/>
  <c r="C16" i="18"/>
  <c r="C69" i="18" s="1"/>
  <c r="C100" i="11"/>
  <c r="A145" i="18"/>
  <c r="A212" i="18" s="1"/>
  <c r="A77" i="18"/>
  <c r="G43" i="17"/>
  <c r="G49" i="17" s="1"/>
  <c r="J43" i="17"/>
  <c r="F43" i="17"/>
  <c r="F49" i="17" s="1"/>
  <c r="I43" i="17"/>
  <c r="I49" i="17" s="1"/>
  <c r="E43" i="17"/>
  <c r="E49" i="17" s="1"/>
  <c r="H43" i="17"/>
  <c r="H49" i="17" s="1"/>
  <c r="K56" i="4"/>
  <c r="K57" i="4" s="1"/>
  <c r="B18" i="8"/>
  <c r="C18" i="8" s="1"/>
  <c r="D18" i="8" s="1"/>
  <c r="E18" i="8" s="1"/>
  <c r="F18" i="8" s="1"/>
  <c r="G18" i="8" s="1"/>
  <c r="H18" i="8" s="1"/>
  <c r="H19" i="4"/>
  <c r="H15" i="4"/>
  <c r="H11" i="4"/>
  <c r="H20" i="4"/>
  <c r="H16" i="4"/>
  <c r="H12" i="4"/>
  <c r="H8" i="4"/>
  <c r="H21" i="4"/>
  <c r="H17" i="4"/>
  <c r="H13" i="4"/>
  <c r="H9" i="4"/>
  <c r="H22" i="4"/>
  <c r="H18" i="4"/>
  <c r="H14" i="4"/>
  <c r="H10" i="4"/>
  <c r="I4" i="4"/>
  <c r="C47" i="18"/>
  <c r="C100" i="18" s="1"/>
  <c r="C116" i="12"/>
  <c r="B74" i="12"/>
  <c r="B13" i="19" s="1"/>
  <c r="B46" i="12"/>
  <c r="C23" i="18"/>
  <c r="C76" i="18" s="1"/>
  <c r="C107" i="11"/>
  <c r="B18" i="19"/>
  <c r="B49" i="19" s="1"/>
  <c r="C79" i="12"/>
  <c r="A177" i="18"/>
  <c r="A241" i="18" s="1"/>
  <c r="A109" i="18"/>
  <c r="B30" i="13"/>
  <c r="B87" i="13" s="1"/>
  <c r="B95" i="12"/>
  <c r="B67" i="12"/>
  <c r="B119" i="12"/>
  <c r="F33" i="12"/>
  <c r="H33" i="12" s="1"/>
  <c r="B58" i="13"/>
  <c r="B115" i="13" s="1"/>
  <c r="C69" i="12"/>
  <c r="F45" i="16"/>
  <c r="F47" i="16" s="1"/>
  <c r="D20" i="7"/>
  <c r="G51" i="6"/>
  <c r="E97" i="10"/>
  <c r="D111" i="10"/>
  <c r="E12" i="10"/>
  <c r="D61" i="10"/>
  <c r="C46" i="18"/>
  <c r="C99" i="18" s="1"/>
  <c r="C115" i="12"/>
  <c r="C20" i="18"/>
  <c r="C73" i="18" s="1"/>
  <c r="C104" i="11"/>
  <c r="B88" i="11"/>
  <c r="C88" i="11" s="1"/>
  <c r="D88" i="11" s="1"/>
  <c r="E88" i="11" s="1"/>
  <c r="F88" i="11" s="1"/>
  <c r="G88" i="11" s="1"/>
  <c r="H88" i="11" s="1"/>
  <c r="C40" i="18"/>
  <c r="C93" i="18" s="1"/>
  <c r="C109" i="12"/>
  <c r="G45" i="16"/>
  <c r="G47" i="16" s="1"/>
  <c r="E20" i="7"/>
  <c r="H51" i="6"/>
  <c r="G61" i="10"/>
  <c r="H97" i="10"/>
  <c r="G111" i="10"/>
  <c r="H12" i="10"/>
  <c r="C44" i="18"/>
  <c r="C97" i="18" s="1"/>
  <c r="C113" i="12"/>
  <c r="B84" i="11"/>
  <c r="D215" i="18"/>
  <c r="D148" i="18"/>
  <c r="B49" i="12"/>
  <c r="B77" i="12"/>
  <c r="A154" i="18"/>
  <c r="A221" i="18" s="1"/>
  <c r="A86" i="18"/>
  <c r="C12" i="18"/>
  <c r="C65" i="18" s="1"/>
  <c r="C96" i="11"/>
  <c r="A136" i="18"/>
  <c r="A203" i="18" s="1"/>
  <c r="A68" i="18"/>
  <c r="A144" i="18"/>
  <c r="A211" i="18" s="1"/>
  <c r="A76" i="18"/>
  <c r="I28" i="17"/>
  <c r="I39" i="17" s="1"/>
  <c r="G40" i="19"/>
  <c r="F41" i="19"/>
  <c r="F44" i="19" s="1"/>
  <c r="C16" i="9" l="1"/>
  <c r="I11" i="2"/>
  <c r="E57" i="4"/>
  <c r="F57" i="4" s="1"/>
  <c r="C58" i="4"/>
  <c r="D55" i="4" s="1"/>
  <c r="D58" i="4" s="1"/>
  <c r="E55" i="4" s="1"/>
  <c r="E58" i="4" s="1"/>
  <c r="F55" i="4" s="1"/>
  <c r="F58" i="4" s="1"/>
  <c r="G55" i="4" s="1"/>
  <c r="G58" i="4" s="1"/>
  <c r="H55" i="4" s="1"/>
  <c r="H58" i="4" s="1"/>
  <c r="I55" i="4" s="1"/>
  <c r="I58" i="4" s="1"/>
  <c r="D39" i="4"/>
  <c r="E39" i="4" s="1"/>
  <c r="F39" i="4" s="1"/>
  <c r="G39" i="4" s="1"/>
  <c r="H39" i="4" s="1"/>
  <c r="I39" i="4" s="1"/>
  <c r="G57" i="4"/>
  <c r="H57" i="4" s="1"/>
  <c r="I57" i="4" s="1"/>
  <c r="D27" i="18"/>
  <c r="D80" i="18" s="1"/>
  <c r="C40" i="4"/>
  <c r="D37" i="4" s="1"/>
  <c r="D40" i="4" s="1"/>
  <c r="E37" i="4" s="1"/>
  <c r="E40" i="4" s="1"/>
  <c r="F37" i="4" s="1"/>
  <c r="F40" i="4" s="1"/>
  <c r="G37" i="4" s="1"/>
  <c r="G40" i="4" s="1"/>
  <c r="H37" i="4" s="1"/>
  <c r="H40" i="4" s="1"/>
  <c r="I37" i="4" s="1"/>
  <c r="I40" i="4" s="1"/>
  <c r="D63" i="4"/>
  <c r="E63" i="4" s="1"/>
  <c r="F63" i="4" s="1"/>
  <c r="G63" i="4" s="1"/>
  <c r="H63" i="4" s="1"/>
  <c r="I63" i="4" s="1"/>
  <c r="C64" i="4"/>
  <c r="D61" i="4" s="1"/>
  <c r="D64" i="4" s="1"/>
  <c r="E61" i="4" s="1"/>
  <c r="E64" i="4" s="1"/>
  <c r="F61" i="4" s="1"/>
  <c r="F64" i="4" s="1"/>
  <c r="G61" i="4" s="1"/>
  <c r="G64" i="4" s="1"/>
  <c r="H61" i="4" s="1"/>
  <c r="H64" i="4" s="1"/>
  <c r="I61" i="4" s="1"/>
  <c r="I64" i="4" s="1"/>
  <c r="C51" i="4"/>
  <c r="D51" i="4" s="1"/>
  <c r="E20" i="2"/>
  <c r="D4" i="5" s="1"/>
  <c r="C10" i="5" s="1"/>
  <c r="C43" i="4"/>
  <c r="C65" i="4" s="1"/>
  <c r="B13" i="8" s="1"/>
  <c r="I79" i="15"/>
  <c r="H110" i="15"/>
  <c r="H115" i="15" s="1"/>
  <c r="F29" i="7" s="1"/>
  <c r="D134" i="10"/>
  <c r="D74" i="11"/>
  <c r="E74" i="11" s="1"/>
  <c r="B14" i="15"/>
  <c r="B38" i="15" s="1"/>
  <c r="C68" i="11"/>
  <c r="B83" i="11"/>
  <c r="B28" i="15" s="1"/>
  <c r="B52" i="15" s="1"/>
  <c r="C102" i="11"/>
  <c r="D18" i="18" s="1"/>
  <c r="D71" i="18" s="1"/>
  <c r="D112" i="11"/>
  <c r="E28" i="18" s="1"/>
  <c r="E81" i="18" s="1"/>
  <c r="D13" i="18"/>
  <c r="D66" i="18" s="1"/>
  <c r="E201" i="18" s="1"/>
  <c r="C25" i="18"/>
  <c r="C78" i="18" s="1"/>
  <c r="D146" i="18" s="1"/>
  <c r="C21" i="15"/>
  <c r="C45" i="15" s="1"/>
  <c r="D76" i="11"/>
  <c r="D86" i="11"/>
  <c r="C31" i="15"/>
  <c r="C55" i="15" s="1"/>
  <c r="D72" i="11"/>
  <c r="C17" i="15"/>
  <c r="C41" i="15" s="1"/>
  <c r="D202" i="18"/>
  <c r="D135" i="18"/>
  <c r="B81" i="11"/>
  <c r="C106" i="11"/>
  <c r="C22" i="18"/>
  <c r="C75" i="18" s="1"/>
  <c r="C15" i="13"/>
  <c r="C72" i="13" s="1"/>
  <c r="B78" i="11"/>
  <c r="B16" i="13"/>
  <c r="B73" i="13" s="1"/>
  <c r="D14" i="18"/>
  <c r="D67" i="18" s="1"/>
  <c r="D98" i="11"/>
  <c r="D237" i="13"/>
  <c r="B124" i="13"/>
  <c r="D182" i="13" s="1"/>
  <c r="C103" i="11"/>
  <c r="C19" i="18"/>
  <c r="C72" i="18" s="1"/>
  <c r="C73" i="11"/>
  <c r="B18" i="15"/>
  <c r="B42" i="15" s="1"/>
  <c r="D164" i="10"/>
  <c r="D149" i="10"/>
  <c r="D23" i="9"/>
  <c r="F6" i="2"/>
  <c r="F12" i="2" s="1"/>
  <c r="E19" i="2" s="1"/>
  <c r="B34" i="8" s="1"/>
  <c r="C34" i="8" s="1"/>
  <c r="D34" i="8" s="1"/>
  <c r="E34" i="8" s="1"/>
  <c r="F34" i="8" s="1"/>
  <c r="G34" i="8" s="1"/>
  <c r="H34" i="8" s="1"/>
  <c r="K64" i="4"/>
  <c r="L61" i="4" s="1"/>
  <c r="L62" i="4" s="1"/>
  <c r="L63" i="4" s="1"/>
  <c r="K40" i="4"/>
  <c r="L37" i="4" s="1"/>
  <c r="L38" i="4" s="1"/>
  <c r="L39" i="4" s="1"/>
  <c r="D12" i="18"/>
  <c r="D65" i="18" s="1"/>
  <c r="D96" i="11"/>
  <c r="B27" i="13"/>
  <c r="B84" i="13" s="1"/>
  <c r="G41" i="19"/>
  <c r="G44" i="19" s="1"/>
  <c r="H40" i="19"/>
  <c r="H41" i="19" s="1"/>
  <c r="H44" i="19" s="1"/>
  <c r="D44" i="18"/>
  <c r="D97" i="18" s="1"/>
  <c r="D113" i="12"/>
  <c r="B31" i="13"/>
  <c r="B88" i="13" s="1"/>
  <c r="D46" i="18"/>
  <c r="D99" i="18" s="1"/>
  <c r="D115" i="12"/>
  <c r="D277" i="13"/>
  <c r="B167" i="13"/>
  <c r="D226" i="13" s="1"/>
  <c r="B34" i="19"/>
  <c r="B62" i="19" s="1"/>
  <c r="C95" i="12"/>
  <c r="D211" i="18"/>
  <c r="D144" i="18"/>
  <c r="B44" i="19"/>
  <c r="D235" i="18"/>
  <c r="D168" i="18"/>
  <c r="K58" i="4"/>
  <c r="L55" i="4" s="1"/>
  <c r="F57" i="17"/>
  <c r="C21" i="7"/>
  <c r="F48" i="6"/>
  <c r="B36" i="13"/>
  <c r="B93" i="13" s="1"/>
  <c r="C47" i="12"/>
  <c r="D19" i="15"/>
  <c r="D43" i="15" s="1"/>
  <c r="D227" i="18"/>
  <c r="D160" i="18"/>
  <c r="E148" i="18"/>
  <c r="E215" i="18"/>
  <c r="B46" i="13"/>
  <c r="B103" i="13" s="1"/>
  <c r="C57" i="12"/>
  <c r="D29" i="18"/>
  <c r="D82" i="18" s="1"/>
  <c r="D113" i="11"/>
  <c r="D52" i="4"/>
  <c r="F172" i="10"/>
  <c r="F127" i="10"/>
  <c r="F34" i="10"/>
  <c r="F157" i="10"/>
  <c r="F142" i="10"/>
  <c r="B92" i="12"/>
  <c r="B64" i="12"/>
  <c r="C64" i="12" s="1"/>
  <c r="D64" i="12" s="1"/>
  <c r="E64" i="12" s="1"/>
  <c r="F64" i="12" s="1"/>
  <c r="G64" i="12" s="1"/>
  <c r="H64" i="12" s="1"/>
  <c r="C14" i="15"/>
  <c r="C38" i="15" s="1"/>
  <c r="D69" i="11"/>
  <c r="D24" i="18"/>
  <c r="D77" i="18" s="1"/>
  <c r="D108" i="11"/>
  <c r="B49" i="13"/>
  <c r="B106" i="13" s="1"/>
  <c r="C60" i="12"/>
  <c r="G34" i="15"/>
  <c r="H33" i="15"/>
  <c r="H34" i="15" s="1"/>
  <c r="D176" i="18"/>
  <c r="D240" i="18"/>
  <c r="B37" i="15"/>
  <c r="B39" i="13"/>
  <c r="B96" i="13" s="1"/>
  <c r="C50" i="12"/>
  <c r="D229" i="18"/>
  <c r="D162" i="18"/>
  <c r="D169" i="18"/>
  <c r="D236" i="18"/>
  <c r="F10" i="7"/>
  <c r="I38" i="6"/>
  <c r="B93" i="12"/>
  <c r="B65" i="12"/>
  <c r="C65" i="12" s="1"/>
  <c r="D65" i="12" s="1"/>
  <c r="E65" i="12" s="1"/>
  <c r="F65" i="12" s="1"/>
  <c r="G65" i="12" s="1"/>
  <c r="H65" i="12" s="1"/>
  <c r="C12" i="13"/>
  <c r="C69" i="13" s="1"/>
  <c r="E13" i="18"/>
  <c r="E66" i="18" s="1"/>
  <c r="E97" i="11"/>
  <c r="D45" i="18"/>
  <c r="D98" i="18" s="1"/>
  <c r="D114" i="12"/>
  <c r="E197" i="18"/>
  <c r="E130" i="18"/>
  <c r="D231" i="18"/>
  <c r="D164" i="18"/>
  <c r="E11" i="7"/>
  <c r="H35" i="6"/>
  <c r="B16" i="15"/>
  <c r="B40" i="15" s="1"/>
  <c r="C71" i="11"/>
  <c r="B30" i="15"/>
  <c r="B54" i="15" s="1"/>
  <c r="C85" i="11"/>
  <c r="E251" i="13"/>
  <c r="C138" i="13"/>
  <c r="E196" i="13" s="1"/>
  <c r="B44" i="13"/>
  <c r="B101" i="13" s="1"/>
  <c r="C55" i="12"/>
  <c r="B37" i="19"/>
  <c r="B65" i="19" s="1"/>
  <c r="C98" i="12"/>
  <c r="B50" i="13"/>
  <c r="B107" i="13" s="1"/>
  <c r="C61" i="12"/>
  <c r="C36" i="19"/>
  <c r="C64" i="19" s="1"/>
  <c r="D97" i="12"/>
  <c r="D54" i="18"/>
  <c r="D107" i="18" s="1"/>
  <c r="D123" i="12"/>
  <c r="B25" i="13"/>
  <c r="B82" i="13" s="1"/>
  <c r="B47" i="13"/>
  <c r="B104" i="13" s="1"/>
  <c r="C58" i="12"/>
  <c r="B18" i="13"/>
  <c r="B75" i="13" s="1"/>
  <c r="D103" i="12"/>
  <c r="D34" i="18"/>
  <c r="D87" i="18" s="1"/>
  <c r="B20" i="13"/>
  <c r="B77" i="13" s="1"/>
  <c r="B23" i="13"/>
  <c r="B80" i="13" s="1"/>
  <c r="D237" i="18"/>
  <c r="D170" i="18"/>
  <c r="E177" i="18"/>
  <c r="E241" i="18"/>
  <c r="D165" i="18"/>
  <c r="D232" i="18"/>
  <c r="D167" i="18"/>
  <c r="D234" i="18"/>
  <c r="B63" i="12"/>
  <c r="B91" i="12"/>
  <c r="C30" i="13"/>
  <c r="C87" i="13" s="1"/>
  <c r="C18" i="19"/>
  <c r="C49" i="19" s="1"/>
  <c r="D79" i="12"/>
  <c r="I20" i="4"/>
  <c r="I16" i="4"/>
  <c r="I12" i="4"/>
  <c r="I8" i="4"/>
  <c r="I21" i="4"/>
  <c r="I17" i="4"/>
  <c r="I13" i="4"/>
  <c r="I9" i="4"/>
  <c r="I22" i="4"/>
  <c r="I18" i="4"/>
  <c r="I14" i="4"/>
  <c r="I10" i="4"/>
  <c r="J4" i="4"/>
  <c r="I19" i="4"/>
  <c r="I15" i="4"/>
  <c r="I11" i="4"/>
  <c r="H57" i="17"/>
  <c r="H59" i="17" s="1"/>
  <c r="E21" i="7"/>
  <c r="H48" i="6"/>
  <c r="B14" i="19"/>
  <c r="B45" i="19" s="1"/>
  <c r="C75" i="12"/>
  <c r="D11" i="7"/>
  <c r="G35" i="6"/>
  <c r="D37" i="18"/>
  <c r="D90" i="18" s="1"/>
  <c r="D106" i="12"/>
  <c r="D25" i="18"/>
  <c r="D78" i="18" s="1"/>
  <c r="D109" i="11"/>
  <c r="J52" i="17"/>
  <c r="J56" i="17" s="1"/>
  <c r="G31" i="7" s="1"/>
  <c r="J35" i="17"/>
  <c r="K23" i="17"/>
  <c r="J44" i="17"/>
  <c r="J49" i="17" s="1"/>
  <c r="J36" i="17"/>
  <c r="J33" i="17"/>
  <c r="J38" i="17"/>
  <c r="J37" i="17"/>
  <c r="J31" i="17"/>
  <c r="J34" i="17"/>
  <c r="J29" i="17"/>
  <c r="J28" i="17"/>
  <c r="J39" i="17" s="1"/>
  <c r="J30" i="17"/>
  <c r="J32" i="17"/>
  <c r="D217" i="18"/>
  <c r="D150" i="18"/>
  <c r="C51" i="18"/>
  <c r="C104" i="18" s="1"/>
  <c r="D172" i="18" s="1"/>
  <c r="C120" i="12"/>
  <c r="D212" i="18"/>
  <c r="D145" i="18"/>
  <c r="B27" i="19"/>
  <c r="B58" i="19" s="1"/>
  <c r="C88" i="12"/>
  <c r="H265" i="18"/>
  <c r="H214" i="18"/>
  <c r="H205" i="18"/>
  <c r="H266" i="18"/>
  <c r="H267" i="18"/>
  <c r="H268" i="18"/>
  <c r="H243" i="18"/>
  <c r="I124" i="18"/>
  <c r="H219" i="18"/>
  <c r="H152" i="18"/>
  <c r="B17" i="19"/>
  <c r="B48" i="19" s="1"/>
  <c r="C78" i="12"/>
  <c r="D42" i="18"/>
  <c r="D95" i="18" s="1"/>
  <c r="D111" i="12"/>
  <c r="D57" i="18"/>
  <c r="D110" i="18" s="1"/>
  <c r="D126" i="12"/>
  <c r="H9" i="16"/>
  <c r="H10" i="16" s="1"/>
  <c r="G10" i="16"/>
  <c r="I21" i="16" s="1"/>
  <c r="I23" i="16" s="1"/>
  <c r="C52" i="18"/>
  <c r="C105" i="18" s="1"/>
  <c r="D173" i="18" s="1"/>
  <c r="C121" i="12"/>
  <c r="D234" i="13"/>
  <c r="B121" i="13"/>
  <c r="D179" i="13" s="1"/>
  <c r="D233" i="18"/>
  <c r="D166" i="18"/>
  <c r="B57" i="13"/>
  <c r="B114" i="13" s="1"/>
  <c r="C68" i="12"/>
  <c r="C11" i="13"/>
  <c r="G30" i="18"/>
  <c r="G83" i="18" s="1"/>
  <c r="G114" i="11"/>
  <c r="B45" i="13"/>
  <c r="B102" i="13" s="1"/>
  <c r="C56" i="12"/>
  <c r="F59" i="17"/>
  <c r="C11" i="7"/>
  <c r="F35" i="6"/>
  <c r="D36" i="18"/>
  <c r="D89" i="18" s="1"/>
  <c r="D105" i="12"/>
  <c r="F10" i="18"/>
  <c r="F63" i="18" s="1"/>
  <c r="F94" i="11"/>
  <c r="H180" i="19"/>
  <c r="H185" i="19" s="1"/>
  <c r="F33" i="7" s="1"/>
  <c r="I149" i="19"/>
  <c r="H181" i="19"/>
  <c r="B43" i="13"/>
  <c r="B100" i="13" s="1"/>
  <c r="C54" i="12"/>
  <c r="D175" i="18"/>
  <c r="D239" i="18"/>
  <c r="B27" i="15"/>
  <c r="B51" i="15" s="1"/>
  <c r="C82" i="11"/>
  <c r="B25" i="19"/>
  <c r="B56" i="19" s="1"/>
  <c r="C86" i="12"/>
  <c r="B20" i="15"/>
  <c r="B44" i="15" s="1"/>
  <c r="C75" i="11"/>
  <c r="D155" i="18"/>
  <c r="D222" i="18"/>
  <c r="B22" i="15"/>
  <c r="B46" i="15" s="1"/>
  <c r="C77" i="11"/>
  <c r="B25" i="15"/>
  <c r="B49" i="15" s="1"/>
  <c r="C80" i="11"/>
  <c r="B37" i="13"/>
  <c r="B94" i="13" s="1"/>
  <c r="C48" i="12"/>
  <c r="D21" i="18"/>
  <c r="D74" i="18" s="1"/>
  <c r="D105" i="11"/>
  <c r="B51" i="13"/>
  <c r="B108" i="13" s="1"/>
  <c r="C62" i="12"/>
  <c r="B16" i="19"/>
  <c r="B47" i="19" s="1"/>
  <c r="C77" i="12"/>
  <c r="D40" i="18"/>
  <c r="D93" i="18" s="1"/>
  <c r="D109" i="12"/>
  <c r="D20" i="18"/>
  <c r="D73" i="18" s="1"/>
  <c r="D104" i="11"/>
  <c r="K51" i="4"/>
  <c r="C50" i="18"/>
  <c r="C103" i="18" s="1"/>
  <c r="C119" i="12"/>
  <c r="D252" i="13"/>
  <c r="B139" i="13"/>
  <c r="D197" i="13" s="1"/>
  <c r="H23" i="4"/>
  <c r="E35" i="7" s="1"/>
  <c r="E36" i="7" s="1"/>
  <c r="E57" i="17"/>
  <c r="E59" i="17" s="1"/>
  <c r="B21" i="7"/>
  <c r="E48" i="6"/>
  <c r="G57" i="17"/>
  <c r="G59" i="17" s="1"/>
  <c r="D21" i="7"/>
  <c r="G48" i="6"/>
  <c r="D16" i="18"/>
  <c r="D69" i="18" s="1"/>
  <c r="D100" i="11"/>
  <c r="E38" i="18"/>
  <c r="E91" i="18" s="1"/>
  <c r="E107" i="12"/>
  <c r="F15" i="18"/>
  <c r="F68" i="18" s="1"/>
  <c r="F99" i="11"/>
  <c r="B11" i="7"/>
  <c r="E35" i="6"/>
  <c r="D225" i="18"/>
  <c r="D158" i="18"/>
  <c r="I28" i="16"/>
  <c r="I37" i="16"/>
  <c r="I43" i="16" s="1"/>
  <c r="G30" i="7" s="1"/>
  <c r="I27" i="16"/>
  <c r="I34" i="16" s="1"/>
  <c r="J17" i="16"/>
  <c r="I29" i="16"/>
  <c r="B20" i="19"/>
  <c r="B51" i="19" s="1"/>
  <c r="C81" i="12"/>
  <c r="B22" i="13"/>
  <c r="B79" i="13" s="1"/>
  <c r="B26" i="19"/>
  <c r="B57" i="19" s="1"/>
  <c r="C87" i="12"/>
  <c r="B41" i="13"/>
  <c r="B98" i="13" s="1"/>
  <c r="C52" i="12"/>
  <c r="D163" i="18"/>
  <c r="D230" i="18"/>
  <c r="D178" i="18"/>
  <c r="D242" i="18"/>
  <c r="B13" i="13"/>
  <c r="B70" i="13" s="1"/>
  <c r="D19" i="13"/>
  <c r="D76" i="13" s="1"/>
  <c r="B26" i="13"/>
  <c r="B83" i="13" s="1"/>
  <c r="B35" i="19"/>
  <c r="B63" i="19" s="1"/>
  <c r="C96" i="12"/>
  <c r="B68" i="13"/>
  <c r="G218" i="18"/>
  <c r="G151" i="18"/>
  <c r="B23" i="19"/>
  <c r="B54" i="19" s="1"/>
  <c r="C84" i="12"/>
  <c r="E149" i="10"/>
  <c r="E179" i="10"/>
  <c r="E164" i="10"/>
  <c r="E134" i="10"/>
  <c r="E23" i="9"/>
  <c r="H280" i="13"/>
  <c r="H294" i="13"/>
  <c r="H301" i="13" s="1"/>
  <c r="F28" i="7" s="1"/>
  <c r="H255" i="13"/>
  <c r="H279" i="13"/>
  <c r="I172" i="13"/>
  <c r="H254" i="13"/>
  <c r="H221" i="13"/>
  <c r="H222" i="13"/>
  <c r="H199" i="13"/>
  <c r="H223" i="13"/>
  <c r="D157" i="18"/>
  <c r="D224" i="18"/>
  <c r="F198" i="18"/>
  <c r="F131" i="18"/>
  <c r="G185" i="19"/>
  <c r="E33" i="7" s="1"/>
  <c r="B21" i="19"/>
  <c r="B52" i="19" s="1"/>
  <c r="C82" i="12"/>
  <c r="D11" i="18"/>
  <c r="D64" i="18" s="1"/>
  <c r="D95" i="11"/>
  <c r="B94" i="12"/>
  <c r="B66" i="12"/>
  <c r="C66" i="12" s="1"/>
  <c r="D66" i="12" s="1"/>
  <c r="E66" i="12" s="1"/>
  <c r="F66" i="12" s="1"/>
  <c r="G66" i="12" s="1"/>
  <c r="H66" i="12" s="1"/>
  <c r="D51" i="12"/>
  <c r="C40" i="13"/>
  <c r="C97" i="13" s="1"/>
  <c r="D33" i="18"/>
  <c r="D86" i="18" s="1"/>
  <c r="D102" i="12"/>
  <c r="D17" i="13"/>
  <c r="D74" i="13" s="1"/>
  <c r="D35" i="18"/>
  <c r="D88" i="18" s="1"/>
  <c r="D104" i="12"/>
  <c r="B15" i="19"/>
  <c r="B46" i="19" s="1"/>
  <c r="C76" i="12"/>
  <c r="D209" i="18"/>
  <c r="D142" i="18"/>
  <c r="B29" i="19"/>
  <c r="B60" i="19" s="1"/>
  <c r="C90" i="12"/>
  <c r="F11" i="7"/>
  <c r="I35" i="6"/>
  <c r="D200" i="18"/>
  <c r="D133" i="18"/>
  <c r="B38" i="13"/>
  <c r="B95" i="13" s="1"/>
  <c r="C49" i="12"/>
  <c r="B29" i="15"/>
  <c r="B53" i="15" s="1"/>
  <c r="C84" i="11"/>
  <c r="D161" i="18"/>
  <c r="D228" i="18"/>
  <c r="D208" i="18"/>
  <c r="D141" i="18"/>
  <c r="K52" i="4"/>
  <c r="C58" i="13"/>
  <c r="C115" i="13" s="1"/>
  <c r="D69" i="12"/>
  <c r="B56" i="13"/>
  <c r="B113" i="13" s="1"/>
  <c r="C67" i="12"/>
  <c r="D23" i="18"/>
  <c r="D76" i="18" s="1"/>
  <c r="D107" i="11"/>
  <c r="B35" i="13"/>
  <c r="C46" i="12"/>
  <c r="D47" i="18"/>
  <c r="D100" i="18" s="1"/>
  <c r="D116" i="12"/>
  <c r="I57" i="17"/>
  <c r="I59" i="17" s="1"/>
  <c r="F21" i="7"/>
  <c r="I48" i="6"/>
  <c r="D204" i="18"/>
  <c r="D137" i="18"/>
  <c r="D206" i="18"/>
  <c r="D139" i="18"/>
  <c r="E226" i="18"/>
  <c r="E159" i="18"/>
  <c r="F203" i="18"/>
  <c r="F136" i="18"/>
  <c r="D39" i="18"/>
  <c r="D92" i="18" s="1"/>
  <c r="D108" i="12"/>
  <c r="E27" i="18"/>
  <c r="E80" i="18" s="1"/>
  <c r="E111" i="11"/>
  <c r="B24" i="19"/>
  <c r="B55" i="19" s="1"/>
  <c r="C85" i="12"/>
  <c r="H34" i="16"/>
  <c r="B42" i="13"/>
  <c r="B99" i="13" s="1"/>
  <c r="C53" i="12"/>
  <c r="B24" i="15"/>
  <c r="B48" i="15" s="1"/>
  <c r="C79" i="11"/>
  <c r="B48" i="13"/>
  <c r="B105" i="13" s="1"/>
  <c r="C59" i="12"/>
  <c r="D55" i="18"/>
  <c r="D108" i="18" s="1"/>
  <c r="D124" i="12"/>
  <c r="C13" i="15"/>
  <c r="D68" i="11"/>
  <c r="E216" i="18"/>
  <c r="E149" i="18"/>
  <c r="B19" i="19"/>
  <c r="B50" i="19" s="1"/>
  <c r="C80" i="12"/>
  <c r="D41" i="18"/>
  <c r="D94" i="18" s="1"/>
  <c r="D110" i="12"/>
  <c r="D48" i="18"/>
  <c r="D101" i="18" s="1"/>
  <c r="D117" i="12"/>
  <c r="B15" i="15"/>
  <c r="B39" i="15" s="1"/>
  <c r="B65" i="15" s="1"/>
  <c r="C70" i="11"/>
  <c r="E241" i="13"/>
  <c r="C128" i="13"/>
  <c r="E186" i="13" s="1"/>
  <c r="E9" i="18"/>
  <c r="E62" i="18" s="1"/>
  <c r="E93" i="11"/>
  <c r="D43" i="18"/>
  <c r="D96" i="18" s="1"/>
  <c r="D112" i="12"/>
  <c r="B14" i="13"/>
  <c r="B71" i="13" s="1"/>
  <c r="B28" i="13"/>
  <c r="B85" i="13" s="1"/>
  <c r="D29" i="13"/>
  <c r="D86" i="13" s="1"/>
  <c r="B22" i="19"/>
  <c r="B53" i="19" s="1"/>
  <c r="C83" i="12"/>
  <c r="B59" i="13"/>
  <c r="B116" i="13" s="1"/>
  <c r="C70" i="12"/>
  <c r="B28" i="19"/>
  <c r="B59" i="19" s="1"/>
  <c r="C89" i="12"/>
  <c r="D199" i="18"/>
  <c r="D132" i="18"/>
  <c r="C53" i="18"/>
  <c r="C106" i="18" s="1"/>
  <c r="D174" i="18" s="1"/>
  <c r="C122" i="12"/>
  <c r="B149" i="13"/>
  <c r="D208" i="13" s="1"/>
  <c r="D262" i="13"/>
  <c r="D221" i="18"/>
  <c r="D154" i="18"/>
  <c r="E239" i="13"/>
  <c r="C126" i="13"/>
  <c r="E184" i="13" s="1"/>
  <c r="D223" i="18"/>
  <c r="D156" i="18"/>
  <c r="D49" i="18"/>
  <c r="D102" i="18" s="1"/>
  <c r="D118" i="12"/>
  <c r="E56" i="18"/>
  <c r="E109" i="18" s="1"/>
  <c r="E125" i="12"/>
  <c r="I44" i="4" l="1"/>
  <c r="I66" i="4" s="1"/>
  <c r="H14" i="8" s="1"/>
  <c r="D86" i="15"/>
  <c r="G44" i="4"/>
  <c r="G66" i="4" s="1"/>
  <c r="F14" i="8" s="1"/>
  <c r="D44" i="4"/>
  <c r="D66" i="4" s="1"/>
  <c r="C14" i="8" s="1"/>
  <c r="E44" i="4"/>
  <c r="E66" i="4" s="1"/>
  <c r="D42" i="7" s="1"/>
  <c r="E45" i="10" s="1"/>
  <c r="K43" i="4"/>
  <c r="K65" i="4" s="1"/>
  <c r="H44" i="4"/>
  <c r="H66" i="4" s="1"/>
  <c r="G14" i="8" s="1"/>
  <c r="F44" i="4"/>
  <c r="F66" i="4" s="1"/>
  <c r="E14" i="8" s="1"/>
  <c r="C44" i="4"/>
  <c r="C45" i="4" s="1"/>
  <c r="C67" i="4" s="1"/>
  <c r="C10" i="9"/>
  <c r="D8" i="5"/>
  <c r="F85" i="5" s="1"/>
  <c r="C9" i="9"/>
  <c r="D94" i="15"/>
  <c r="D93" i="15"/>
  <c r="B60" i="15"/>
  <c r="B61" i="15"/>
  <c r="I110" i="15"/>
  <c r="I115" i="15" s="1"/>
  <c r="G29" i="7" s="1"/>
  <c r="J79" i="15"/>
  <c r="J110" i="15" s="1"/>
  <c r="J115" i="15" s="1"/>
  <c r="H29" i="7" s="1"/>
  <c r="C83" i="11"/>
  <c r="D83" i="11" s="1"/>
  <c r="D102" i="11"/>
  <c r="E112" i="11"/>
  <c r="D213" i="18"/>
  <c r="E134" i="18"/>
  <c r="D21" i="15"/>
  <c r="D45" i="15" s="1"/>
  <c r="E76" i="11"/>
  <c r="D31" i="15"/>
  <c r="D55" i="15" s="1"/>
  <c r="E86" i="11"/>
  <c r="D19" i="18"/>
  <c r="D72" i="18" s="1"/>
  <c r="D103" i="11"/>
  <c r="E202" i="18"/>
  <c r="E135" i="18"/>
  <c r="B23" i="15"/>
  <c r="B47" i="15" s="1"/>
  <c r="C78" i="11"/>
  <c r="D106" i="11"/>
  <c r="D22" i="18"/>
  <c r="D75" i="18" s="1"/>
  <c r="D207" i="18"/>
  <c r="D140" i="18"/>
  <c r="E14" i="18"/>
  <c r="E67" i="18" s="1"/>
  <c r="E98" i="11"/>
  <c r="B21" i="13"/>
  <c r="B78" i="13" s="1"/>
  <c r="B66" i="15"/>
  <c r="C16" i="13"/>
  <c r="C73" i="13" s="1"/>
  <c r="E237" i="13"/>
  <c r="C124" i="13"/>
  <c r="E182" i="13" s="1"/>
  <c r="B24" i="13"/>
  <c r="B81" i="13" s="1"/>
  <c r="D210" i="18"/>
  <c r="D143" i="18"/>
  <c r="C18" i="15"/>
  <c r="C42" i="15" s="1"/>
  <c r="D73" i="11"/>
  <c r="D238" i="13"/>
  <c r="B125" i="13"/>
  <c r="D183" i="13" s="1"/>
  <c r="D15" i="13"/>
  <c r="D72" i="13" s="1"/>
  <c r="B26" i="15"/>
  <c r="B50" i="15" s="1"/>
  <c r="C81" i="11"/>
  <c r="D17" i="15"/>
  <c r="D41" i="15" s="1"/>
  <c r="E72" i="11"/>
  <c r="G42" i="7"/>
  <c r="H110" i="10" s="1"/>
  <c r="H42" i="7"/>
  <c r="I60" i="10" s="1"/>
  <c r="J57" i="17"/>
  <c r="G21" i="7"/>
  <c r="J48" i="6"/>
  <c r="E237" i="18"/>
  <c r="E170" i="18"/>
  <c r="D53" i="18"/>
  <c r="D106" i="18" s="1"/>
  <c r="E174" i="18" s="1"/>
  <c r="D122" i="12"/>
  <c r="B168" i="13"/>
  <c r="D227" i="13" s="1"/>
  <c r="D278" i="13"/>
  <c r="D250" i="13"/>
  <c r="B137" i="13"/>
  <c r="D195" i="13" s="1"/>
  <c r="E231" i="18"/>
  <c r="E164" i="18"/>
  <c r="F197" i="18"/>
  <c r="F130" i="18"/>
  <c r="E229" i="18"/>
  <c r="E162" i="18"/>
  <c r="C37" i="15"/>
  <c r="C24" i="19"/>
  <c r="C55" i="19" s="1"/>
  <c r="D85" i="12"/>
  <c r="E39" i="18"/>
  <c r="E92" i="18" s="1"/>
  <c r="E108" i="12"/>
  <c r="C35" i="13"/>
  <c r="D46" i="12"/>
  <c r="C56" i="13"/>
  <c r="C113" i="13" s="1"/>
  <c r="D67" i="12"/>
  <c r="E223" i="18"/>
  <c r="E156" i="18"/>
  <c r="E33" i="18"/>
  <c r="E86" i="18" s="1"/>
  <c r="E102" i="12"/>
  <c r="D233" i="13"/>
  <c r="B120" i="13"/>
  <c r="D248" i="13"/>
  <c r="B135" i="13"/>
  <c r="D193" i="13" s="1"/>
  <c r="F241" i="13"/>
  <c r="D128" i="13"/>
  <c r="F186" i="13" s="1"/>
  <c r="D263" i="13"/>
  <c r="B150" i="13"/>
  <c r="D209" i="13" s="1"/>
  <c r="C22" i="13"/>
  <c r="C79" i="13" s="1"/>
  <c r="G15" i="18"/>
  <c r="G68" i="18" s="1"/>
  <c r="G99" i="11"/>
  <c r="E18" i="18"/>
  <c r="E71" i="18" s="1"/>
  <c r="E102" i="11"/>
  <c r="E228" i="18"/>
  <c r="E161" i="18"/>
  <c r="C51" i="13"/>
  <c r="C108" i="13" s="1"/>
  <c r="D62" i="12"/>
  <c r="C37" i="13"/>
  <c r="C94" i="13" s="1"/>
  <c r="D48" i="12"/>
  <c r="C22" i="15"/>
  <c r="C46" i="15" s="1"/>
  <c r="D77" i="11"/>
  <c r="C20" i="15"/>
  <c r="C44" i="15" s="1"/>
  <c r="D75" i="11"/>
  <c r="C27" i="15"/>
  <c r="C51" i="15" s="1"/>
  <c r="D82" i="11"/>
  <c r="C43" i="13"/>
  <c r="C100" i="13" s="1"/>
  <c r="D54" i="12"/>
  <c r="I181" i="19"/>
  <c r="I180" i="19"/>
  <c r="I185" i="19" s="1"/>
  <c r="G33" i="7" s="1"/>
  <c r="J149" i="19"/>
  <c r="G198" i="18"/>
  <c r="G131" i="18"/>
  <c r="D158" i="10"/>
  <c r="D128" i="10"/>
  <c r="D35" i="10"/>
  <c r="D143" i="10"/>
  <c r="D173" i="10"/>
  <c r="H30" i="18"/>
  <c r="H83" i="18" s="1"/>
  <c r="H114" i="11"/>
  <c r="I30" i="18" s="1"/>
  <c r="I83" i="18" s="1"/>
  <c r="C57" i="13"/>
  <c r="C114" i="13" s="1"/>
  <c r="D68" i="12"/>
  <c r="D52" i="18"/>
  <c r="D105" i="18" s="1"/>
  <c r="E173" i="18" s="1"/>
  <c r="D121" i="12"/>
  <c r="E57" i="18"/>
  <c r="E110" i="18" s="1"/>
  <c r="E126" i="12"/>
  <c r="C17" i="19"/>
  <c r="C48" i="19" s="1"/>
  <c r="D78" i="12"/>
  <c r="I266" i="18"/>
  <c r="I267" i="18"/>
  <c r="I268" i="18"/>
  <c r="I243" i="18"/>
  <c r="I265" i="18"/>
  <c r="I273" i="18" s="1"/>
  <c r="G32" i="7" s="1"/>
  <c r="I205" i="18"/>
  <c r="J124" i="18"/>
  <c r="I214" i="18"/>
  <c r="I219" i="18"/>
  <c r="I152" i="18"/>
  <c r="C27" i="19"/>
  <c r="C58" i="19" s="1"/>
  <c r="D88" i="12"/>
  <c r="E225" i="18"/>
  <c r="E158" i="18"/>
  <c r="C14" i="19"/>
  <c r="D75" i="12"/>
  <c r="E252" i="13"/>
  <c r="C139" i="13"/>
  <c r="E197" i="13" s="1"/>
  <c r="C20" i="13"/>
  <c r="C77" i="13" s="1"/>
  <c r="C18" i="13"/>
  <c r="C75" i="13" s="1"/>
  <c r="C25" i="13"/>
  <c r="C82" i="13" s="1"/>
  <c r="D36" i="19"/>
  <c r="D64" i="19" s="1"/>
  <c r="E97" i="12"/>
  <c r="C37" i="19"/>
  <c r="C65" i="19" s="1"/>
  <c r="D98" i="12"/>
  <c r="D55" i="12"/>
  <c r="C44" i="13"/>
  <c r="C101" i="13" s="1"/>
  <c r="C30" i="15"/>
  <c r="C54" i="15" s="1"/>
  <c r="D85" i="11"/>
  <c r="E233" i="18"/>
  <c r="E166" i="18"/>
  <c r="D12" i="13"/>
  <c r="D69" i="13" s="1"/>
  <c r="G172" i="10"/>
  <c r="G127" i="10"/>
  <c r="G34" i="10"/>
  <c r="G157" i="10"/>
  <c r="G142" i="10"/>
  <c r="C39" i="13"/>
  <c r="C96" i="13" s="1"/>
  <c r="D50" i="12"/>
  <c r="D271" i="13"/>
  <c r="B158" i="13"/>
  <c r="D217" i="13" s="1"/>
  <c r="C61" i="15"/>
  <c r="E29" i="18"/>
  <c r="E82" i="18" s="1"/>
  <c r="E113" i="11"/>
  <c r="D57" i="12"/>
  <c r="C46" i="13"/>
  <c r="C103" i="13" s="1"/>
  <c r="D47" i="12"/>
  <c r="C36" i="13"/>
  <c r="C93" i="13" s="1"/>
  <c r="C34" i="19"/>
  <c r="C62" i="19" s="1"/>
  <c r="D95" i="12"/>
  <c r="E46" i="18"/>
  <c r="E99" i="18" s="1"/>
  <c r="E115" i="12"/>
  <c r="E232" i="18"/>
  <c r="E165" i="18"/>
  <c r="D249" i="13"/>
  <c r="B136" i="13"/>
  <c r="D194" i="13" s="1"/>
  <c r="F56" i="18"/>
  <c r="F109" i="18" s="1"/>
  <c r="F125" i="12"/>
  <c r="L40" i="4"/>
  <c r="M37" i="4" s="1"/>
  <c r="E29" i="13"/>
  <c r="E86" i="13" s="1"/>
  <c r="C14" i="13"/>
  <c r="C71" i="13" s="1"/>
  <c r="E48" i="18"/>
  <c r="E101" i="18" s="1"/>
  <c r="E117" i="12"/>
  <c r="C19" i="19"/>
  <c r="C50" i="19" s="1"/>
  <c r="D80" i="12"/>
  <c r="E55" i="18"/>
  <c r="E108" i="18" s="1"/>
  <c r="E124" i="12"/>
  <c r="D59" i="12"/>
  <c r="C48" i="13"/>
  <c r="C105" i="13" s="1"/>
  <c r="D53" i="12"/>
  <c r="C42" i="13"/>
  <c r="C99" i="13" s="1"/>
  <c r="E227" i="18"/>
  <c r="E160" i="18"/>
  <c r="B92" i="13"/>
  <c r="D275" i="13"/>
  <c r="B165" i="13"/>
  <c r="D224" i="13" s="1"/>
  <c r="D10" i="5"/>
  <c r="D49" i="12"/>
  <c r="C38" i="13"/>
  <c r="C95" i="13" s="1"/>
  <c r="C29" i="19"/>
  <c r="C60" i="19" s="1"/>
  <c r="D90" i="12"/>
  <c r="C15" i="19"/>
  <c r="C46" i="19" s="1"/>
  <c r="D76" i="12"/>
  <c r="E221" i="18"/>
  <c r="E154" i="18"/>
  <c r="B33" i="19"/>
  <c r="C94" i="12"/>
  <c r="E51" i="4"/>
  <c r="C35" i="19"/>
  <c r="C63" i="19" s="1"/>
  <c r="D96" i="12"/>
  <c r="C13" i="13"/>
  <c r="C70" i="13" s="1"/>
  <c r="F28" i="18"/>
  <c r="F81" i="18" s="1"/>
  <c r="F112" i="11"/>
  <c r="D244" i="13"/>
  <c r="B131" i="13"/>
  <c r="D189" i="13" s="1"/>
  <c r="J37" i="16"/>
  <c r="J43" i="16" s="1"/>
  <c r="H30" i="7" s="1"/>
  <c r="J27" i="16"/>
  <c r="J28" i="16"/>
  <c r="J29" i="16"/>
  <c r="G203" i="18"/>
  <c r="G136" i="18"/>
  <c r="E206" i="18"/>
  <c r="E139" i="18"/>
  <c r="D50" i="18"/>
  <c r="D103" i="18" s="1"/>
  <c r="D119" i="12"/>
  <c r="E20" i="18"/>
  <c r="E73" i="18" s="1"/>
  <c r="E104" i="11"/>
  <c r="D273" i="13"/>
  <c r="B160" i="13"/>
  <c r="D219" i="13" s="1"/>
  <c r="D259" i="13"/>
  <c r="B146" i="13"/>
  <c r="D205" i="13" s="1"/>
  <c r="D265" i="13"/>
  <c r="B152" i="13"/>
  <c r="D211" i="13" s="1"/>
  <c r="E36" i="18"/>
  <c r="E89" i="18" s="1"/>
  <c r="E105" i="12"/>
  <c r="H218" i="18"/>
  <c r="H151" i="18"/>
  <c r="B166" i="13"/>
  <c r="D225" i="13" s="1"/>
  <c r="D276" i="13"/>
  <c r="E178" i="18"/>
  <c r="E242" i="18"/>
  <c r="H273" i="18"/>
  <c r="F32" i="7" s="1"/>
  <c r="J59" i="17"/>
  <c r="G11" i="7"/>
  <c r="J35" i="6"/>
  <c r="E25" i="18"/>
  <c r="E78" i="18" s="1"/>
  <c r="E109" i="11"/>
  <c r="J21" i="4"/>
  <c r="J17" i="4"/>
  <c r="J13" i="4"/>
  <c r="J9" i="4"/>
  <c r="J22" i="4"/>
  <c r="J18" i="4"/>
  <c r="J14" i="4"/>
  <c r="J10" i="4"/>
  <c r="K4" i="4"/>
  <c r="J19" i="4"/>
  <c r="J15" i="4"/>
  <c r="J11" i="4"/>
  <c r="J20" i="4"/>
  <c r="J16" i="4"/>
  <c r="J12" i="4"/>
  <c r="J8" i="4"/>
  <c r="D30" i="13"/>
  <c r="D87" i="13" s="1"/>
  <c r="D242" i="13"/>
  <c r="B129" i="13"/>
  <c r="D187" i="13" s="1"/>
  <c r="D240" i="13"/>
  <c r="B127" i="13"/>
  <c r="D185" i="13" s="1"/>
  <c r="D247" i="13"/>
  <c r="B134" i="13"/>
  <c r="D192" i="13" s="1"/>
  <c r="B153" i="13"/>
  <c r="D212" i="13" s="1"/>
  <c r="D266" i="13"/>
  <c r="F173" i="10"/>
  <c r="F128" i="10"/>
  <c r="F35" i="10"/>
  <c r="F158" i="10"/>
  <c r="F143" i="10"/>
  <c r="F13" i="18"/>
  <c r="F66" i="18" s="1"/>
  <c r="F97" i="11"/>
  <c r="D261" i="13"/>
  <c r="B148" i="13"/>
  <c r="D207" i="13" s="1"/>
  <c r="E24" i="18"/>
  <c r="E77" i="18" s="1"/>
  <c r="E108" i="11"/>
  <c r="E49" i="4"/>
  <c r="E150" i="18"/>
  <c r="E217" i="18"/>
  <c r="B155" i="13"/>
  <c r="D214" i="13" s="1"/>
  <c r="D268" i="13"/>
  <c r="D258" i="13"/>
  <c r="B145" i="13"/>
  <c r="D204" i="13" s="1"/>
  <c r="L56" i="4"/>
  <c r="L57" i="4" s="1"/>
  <c r="B124" i="19"/>
  <c r="B141" i="19" s="1"/>
  <c r="D164" i="19"/>
  <c r="B126" i="19"/>
  <c r="B143" i="19" s="1"/>
  <c r="D156" i="19" s="1"/>
  <c r="B125" i="19"/>
  <c r="B142" i="19" s="1"/>
  <c r="D155" i="19" s="1"/>
  <c r="D163" i="19"/>
  <c r="D167" i="19"/>
  <c r="E234" i="18"/>
  <c r="E167" i="18"/>
  <c r="E12" i="18"/>
  <c r="E65" i="18" s="1"/>
  <c r="E96" i="11"/>
  <c r="F251" i="13"/>
  <c r="D138" i="13"/>
  <c r="F196" i="13" s="1"/>
  <c r="D236" i="13"/>
  <c r="B123" i="13"/>
  <c r="D181" i="13" s="1"/>
  <c r="E236" i="18"/>
  <c r="E169" i="18"/>
  <c r="C114" i="18"/>
  <c r="E176" i="18"/>
  <c r="E240" i="18"/>
  <c r="B157" i="13"/>
  <c r="D216" i="13" s="1"/>
  <c r="D270" i="13"/>
  <c r="B151" i="13"/>
  <c r="D210" i="13" s="1"/>
  <c r="D264" i="13"/>
  <c r="F27" i="18"/>
  <c r="F80" i="18" s="1"/>
  <c r="F111" i="11"/>
  <c r="E47" i="18"/>
  <c r="E100" i="18" s="1"/>
  <c r="E116" i="12"/>
  <c r="E23" i="18"/>
  <c r="E76" i="18" s="1"/>
  <c r="E107" i="11"/>
  <c r="D58" i="13"/>
  <c r="D115" i="13" s="1"/>
  <c r="E69" i="12"/>
  <c r="L49" i="4"/>
  <c r="B147" i="13"/>
  <c r="D206" i="13" s="1"/>
  <c r="D260" i="13"/>
  <c r="G173" i="10"/>
  <c r="G128" i="10"/>
  <c r="G35" i="10"/>
  <c r="G158" i="10"/>
  <c r="G143" i="10"/>
  <c r="E17" i="13"/>
  <c r="E74" i="13" s="1"/>
  <c r="E262" i="13"/>
  <c r="C149" i="13"/>
  <c r="E208" i="13" s="1"/>
  <c r="E11" i="18"/>
  <c r="E64" i="18" s="1"/>
  <c r="E95" i="11"/>
  <c r="C21" i="19"/>
  <c r="C52" i="19" s="1"/>
  <c r="D82" i="12"/>
  <c r="I294" i="13"/>
  <c r="I301" i="13" s="1"/>
  <c r="G28" i="7" s="1"/>
  <c r="I280" i="13"/>
  <c r="I279" i="13"/>
  <c r="I255" i="13"/>
  <c r="J172" i="13"/>
  <c r="I221" i="13"/>
  <c r="I254" i="13"/>
  <c r="I222" i="13"/>
  <c r="I223" i="13"/>
  <c r="I199" i="13"/>
  <c r="D235" i="13"/>
  <c r="B122" i="13"/>
  <c r="D180" i="13" s="1"/>
  <c r="F216" i="18"/>
  <c r="F149" i="18"/>
  <c r="C26" i="19"/>
  <c r="C57" i="19" s="1"/>
  <c r="D87" i="12"/>
  <c r="C20" i="19"/>
  <c r="C51" i="19" s="1"/>
  <c r="D81" i="12"/>
  <c r="I45" i="16"/>
  <c r="G20" i="7"/>
  <c r="J51" i="6"/>
  <c r="C158" i="10"/>
  <c r="C128" i="10"/>
  <c r="C35" i="10"/>
  <c r="C143" i="10"/>
  <c r="C173" i="10"/>
  <c r="F38" i="18"/>
  <c r="F91" i="18" s="1"/>
  <c r="F107" i="12"/>
  <c r="E16" i="18"/>
  <c r="E69" i="18" s="1"/>
  <c r="E100" i="11"/>
  <c r="D171" i="18"/>
  <c r="D238" i="18"/>
  <c r="E208" i="18"/>
  <c r="E141" i="18"/>
  <c r="C16" i="19"/>
  <c r="C47" i="19" s="1"/>
  <c r="D77" i="12"/>
  <c r="E21" i="18"/>
  <c r="E74" i="18" s="1"/>
  <c r="E105" i="11"/>
  <c r="C25" i="15"/>
  <c r="C49" i="15" s="1"/>
  <c r="D80" i="11"/>
  <c r="C25" i="19"/>
  <c r="C56" i="19" s="1"/>
  <c r="D86" i="12"/>
  <c r="E224" i="18"/>
  <c r="E157" i="18"/>
  <c r="C45" i="13"/>
  <c r="C102" i="13" s="1"/>
  <c r="D56" i="12"/>
  <c r="D11" i="13"/>
  <c r="I47" i="16"/>
  <c r="G10" i="7"/>
  <c r="J38" i="6"/>
  <c r="E42" i="18"/>
  <c r="E95" i="18" s="1"/>
  <c r="E111" i="12"/>
  <c r="C118" i="18"/>
  <c r="K52" i="17"/>
  <c r="K56" i="17" s="1"/>
  <c r="H31" i="7" s="1"/>
  <c r="K34" i="17"/>
  <c r="K33" i="17"/>
  <c r="K38" i="17"/>
  <c r="K44" i="17"/>
  <c r="K37" i="17"/>
  <c r="K35" i="17"/>
  <c r="K31" i="17"/>
  <c r="K36" i="17"/>
  <c r="K28" i="17"/>
  <c r="K30" i="17"/>
  <c r="K32" i="17"/>
  <c r="K29" i="17"/>
  <c r="K43" i="17"/>
  <c r="E146" i="18"/>
  <c r="E213" i="18"/>
  <c r="E158" i="10"/>
  <c r="E173" i="10"/>
  <c r="E143" i="10"/>
  <c r="E128" i="10"/>
  <c r="E35" i="10"/>
  <c r="I23" i="4"/>
  <c r="F35" i="7" s="1"/>
  <c r="D18" i="19"/>
  <c r="D49" i="19" s="1"/>
  <c r="E79" i="12"/>
  <c r="B30" i="19"/>
  <c r="B61" i="19" s="1"/>
  <c r="C91" i="12"/>
  <c r="C23" i="13"/>
  <c r="C80" i="13" s="1"/>
  <c r="E222" i="18"/>
  <c r="E155" i="18"/>
  <c r="C47" i="13"/>
  <c r="C104" i="13" s="1"/>
  <c r="D58" i="12"/>
  <c r="E54" i="18"/>
  <c r="E107" i="18" s="1"/>
  <c r="E123" i="12"/>
  <c r="D61" i="12"/>
  <c r="C50" i="13"/>
  <c r="C107" i="13" s="1"/>
  <c r="C16" i="15"/>
  <c r="C40" i="15" s="1"/>
  <c r="D71" i="11"/>
  <c r="F201" i="18"/>
  <c r="F134" i="18"/>
  <c r="B32" i="19"/>
  <c r="C93" i="12"/>
  <c r="C119" i="18"/>
  <c r="L64" i="4"/>
  <c r="M61" i="4" s="1"/>
  <c r="E212" i="18"/>
  <c r="E145" i="18"/>
  <c r="B31" i="19"/>
  <c r="C92" i="12"/>
  <c r="E19" i="15"/>
  <c r="E43" i="15" s="1"/>
  <c r="F74" i="11"/>
  <c r="C31" i="13"/>
  <c r="C88" i="13" s="1"/>
  <c r="E200" i="18"/>
  <c r="E133" i="18"/>
  <c r="F241" i="18"/>
  <c r="F177" i="18"/>
  <c r="E49" i="18"/>
  <c r="E102" i="18" s="1"/>
  <c r="E118" i="12"/>
  <c r="C28" i="19"/>
  <c r="C59" i="19" s="1"/>
  <c r="D89" i="12"/>
  <c r="C59" i="13"/>
  <c r="C116" i="13" s="1"/>
  <c r="D70" i="12"/>
  <c r="C22" i="19"/>
  <c r="C53" i="19" s="1"/>
  <c r="D83" i="12"/>
  <c r="C28" i="13"/>
  <c r="C85" i="13" s="1"/>
  <c r="E43" i="18"/>
  <c r="E96" i="18" s="1"/>
  <c r="E112" i="12"/>
  <c r="F9" i="18"/>
  <c r="F62" i="18" s="1"/>
  <c r="F93" i="11"/>
  <c r="C15" i="15"/>
  <c r="C39" i="15" s="1"/>
  <c r="D70" i="11"/>
  <c r="E41" i="18"/>
  <c r="E94" i="18" s="1"/>
  <c r="E110" i="12"/>
  <c r="D13" i="15"/>
  <c r="E68" i="11"/>
  <c r="C24" i="15"/>
  <c r="C48" i="15" s="1"/>
  <c r="D79" i="11"/>
  <c r="H45" i="16"/>
  <c r="H47" i="16" s="1"/>
  <c r="F20" i="7"/>
  <c r="I51" i="6"/>
  <c r="F215" i="18"/>
  <c r="F148" i="18"/>
  <c r="E235" i="18"/>
  <c r="E168" i="18"/>
  <c r="E144" i="18"/>
  <c r="E211" i="18"/>
  <c r="E277" i="13"/>
  <c r="C167" i="13"/>
  <c r="E226" i="13" s="1"/>
  <c r="C29" i="15"/>
  <c r="C53" i="15" s="1"/>
  <c r="D84" i="11"/>
  <c r="E35" i="18"/>
  <c r="E88" i="18" s="1"/>
  <c r="E104" i="12"/>
  <c r="F239" i="13"/>
  <c r="D126" i="13"/>
  <c r="F184" i="13" s="1"/>
  <c r="D40" i="13"/>
  <c r="D97" i="13" s="1"/>
  <c r="E51" i="12"/>
  <c r="E199" i="18"/>
  <c r="E132" i="18"/>
  <c r="F164" i="10"/>
  <c r="F134" i="10"/>
  <c r="F179" i="10"/>
  <c r="F149" i="10"/>
  <c r="F23" i="9"/>
  <c r="C23" i="19"/>
  <c r="C54" i="19" s="1"/>
  <c r="D84" i="12"/>
  <c r="C26" i="13"/>
  <c r="C83" i="13" s="1"/>
  <c r="E19" i="13"/>
  <c r="E76" i="13" s="1"/>
  <c r="C41" i="13"/>
  <c r="C98" i="13" s="1"/>
  <c r="D52" i="12"/>
  <c r="C115" i="18"/>
  <c r="F226" i="18"/>
  <c r="F159" i="18"/>
  <c r="E204" i="18"/>
  <c r="E137" i="18"/>
  <c r="E40" i="18"/>
  <c r="E93" i="18" s="1"/>
  <c r="E109" i="12"/>
  <c r="E142" i="18"/>
  <c r="E209" i="18"/>
  <c r="G10" i="18"/>
  <c r="G63" i="18" s="1"/>
  <c r="G94" i="11"/>
  <c r="D267" i="13"/>
  <c r="B154" i="13"/>
  <c r="D213" i="13" s="1"/>
  <c r="C68" i="13"/>
  <c r="J21" i="16"/>
  <c r="J23" i="16" s="1"/>
  <c r="E230" i="18"/>
  <c r="E163" i="18"/>
  <c r="D51" i="18"/>
  <c r="D104" i="18" s="1"/>
  <c r="E172" i="18" s="1"/>
  <c r="D120" i="12"/>
  <c r="E37" i="18"/>
  <c r="E90" i="18" s="1"/>
  <c r="E106" i="12"/>
  <c r="B52" i="13"/>
  <c r="B109" i="13" s="1"/>
  <c r="C63" i="12"/>
  <c r="D245" i="13"/>
  <c r="B132" i="13"/>
  <c r="D190" i="13" s="1"/>
  <c r="E34" i="18"/>
  <c r="E87" i="18" s="1"/>
  <c r="E103" i="12"/>
  <c r="D269" i="13"/>
  <c r="B156" i="13"/>
  <c r="D215" i="13" s="1"/>
  <c r="E175" i="18"/>
  <c r="E239" i="18"/>
  <c r="B159" i="13"/>
  <c r="D218" i="13" s="1"/>
  <c r="D272" i="13"/>
  <c r="B63" i="15"/>
  <c r="E45" i="18"/>
  <c r="E98" i="18" s="1"/>
  <c r="E114" i="12"/>
  <c r="E234" i="13"/>
  <c r="C121" i="13"/>
  <c r="E179" i="13" s="1"/>
  <c r="C49" i="13"/>
  <c r="C106" i="13" s="1"/>
  <c r="D60" i="12"/>
  <c r="D14" i="15"/>
  <c r="D38" i="15" s="1"/>
  <c r="E69" i="11"/>
  <c r="D253" i="13"/>
  <c r="B140" i="13"/>
  <c r="D198" i="13" s="1"/>
  <c r="E44" i="18"/>
  <c r="E97" i="18" s="1"/>
  <c r="E113" i="12"/>
  <c r="C27" i="13"/>
  <c r="C84" i="13" s="1"/>
  <c r="C116" i="18"/>
  <c r="F42" i="7" l="1"/>
  <c r="H96" i="10" s="1"/>
  <c r="D14" i="8"/>
  <c r="C42" i="7"/>
  <c r="D60" i="10" s="1"/>
  <c r="E60" i="10"/>
  <c r="C66" i="4"/>
  <c r="B14" i="8" s="1"/>
  <c r="B15" i="8" s="1"/>
  <c r="D96" i="4"/>
  <c r="F11" i="10"/>
  <c r="E42" i="7"/>
  <c r="F110" i="10" s="1"/>
  <c r="C28" i="15"/>
  <c r="C52" i="15" s="1"/>
  <c r="D85" i="15"/>
  <c r="D98" i="15"/>
  <c r="D99" i="15"/>
  <c r="F96" i="10"/>
  <c r="K44" i="4"/>
  <c r="K46" i="4" s="1"/>
  <c r="E110" i="10"/>
  <c r="D45" i="4"/>
  <c r="E45" i="4" s="1"/>
  <c r="F45" i="4" s="1"/>
  <c r="G45" i="4" s="1"/>
  <c r="H45" i="4" s="1"/>
  <c r="I45" i="4" s="1"/>
  <c r="C46" i="4"/>
  <c r="D43" i="4" s="1"/>
  <c r="D65" i="4" s="1"/>
  <c r="C13" i="8" s="1"/>
  <c r="C15" i="8" s="1"/>
  <c r="H60" i="10"/>
  <c r="F42" i="5"/>
  <c r="F45" i="5"/>
  <c r="F31" i="5"/>
  <c r="F74" i="5"/>
  <c r="F75" i="5"/>
  <c r="F40" i="5"/>
  <c r="F26" i="5"/>
  <c r="F90" i="5"/>
  <c r="F16" i="5"/>
  <c r="F58" i="5"/>
  <c r="F55" i="5"/>
  <c r="F80" i="5"/>
  <c r="F30" i="5"/>
  <c r="F46" i="5"/>
  <c r="F62" i="5"/>
  <c r="F78" i="5"/>
  <c r="F19" i="5"/>
  <c r="F39" i="5"/>
  <c r="F59" i="5"/>
  <c r="F79" i="5"/>
  <c r="F24" i="5"/>
  <c r="F48" i="5"/>
  <c r="F92" i="5"/>
  <c r="F18" i="5"/>
  <c r="F34" i="5"/>
  <c r="F50" i="5"/>
  <c r="F66" i="5"/>
  <c r="F82" i="5"/>
  <c r="F23" i="5"/>
  <c r="F43" i="5"/>
  <c r="F63" i="5"/>
  <c r="F87" i="5"/>
  <c r="F28" i="5"/>
  <c r="F60" i="5"/>
  <c r="F25" i="5"/>
  <c r="F22" i="5"/>
  <c r="F38" i="5"/>
  <c r="F54" i="5"/>
  <c r="F70" i="5"/>
  <c r="F86" i="5"/>
  <c r="F27" i="5"/>
  <c r="F47" i="5"/>
  <c r="F71" i="5"/>
  <c r="F91" i="5"/>
  <c r="F32" i="5"/>
  <c r="F72" i="5"/>
  <c r="F33" i="5"/>
  <c r="F57" i="5"/>
  <c r="F73" i="5"/>
  <c r="F56" i="5"/>
  <c r="F76" i="5"/>
  <c r="F17" i="5"/>
  <c r="F41" i="5"/>
  <c r="F61" i="5"/>
  <c r="F44" i="5"/>
  <c r="F64" i="5"/>
  <c r="F88" i="5"/>
  <c r="F29" i="5"/>
  <c r="F49" i="5"/>
  <c r="F89" i="5"/>
  <c r="F35" i="5"/>
  <c r="F51" i="5"/>
  <c r="F67" i="5"/>
  <c r="F83" i="5"/>
  <c r="F20" i="5"/>
  <c r="F36" i="5"/>
  <c r="F52" i="5"/>
  <c r="F68" i="5"/>
  <c r="F84" i="5"/>
  <c r="F21" i="5"/>
  <c r="F37" i="5"/>
  <c r="F53" i="5"/>
  <c r="F77" i="5"/>
  <c r="F93" i="5"/>
  <c r="F65" i="5"/>
  <c r="F81" i="5"/>
  <c r="F69" i="5"/>
  <c r="I11" i="10"/>
  <c r="I96" i="10"/>
  <c r="G96" i="4"/>
  <c r="E94" i="15"/>
  <c r="E93" i="15"/>
  <c r="C60" i="15"/>
  <c r="C65" i="15"/>
  <c r="E86" i="15" s="1"/>
  <c r="E21" i="15"/>
  <c r="E45" i="15" s="1"/>
  <c r="F76" i="11"/>
  <c r="F86" i="11"/>
  <c r="E31" i="15"/>
  <c r="E55" i="15" s="1"/>
  <c r="B33" i="13"/>
  <c r="D114" i="18"/>
  <c r="E182" i="18" s="1"/>
  <c r="D118" i="18"/>
  <c r="E250" i="18" s="1"/>
  <c r="E17" i="15"/>
  <c r="E41" i="15" s="1"/>
  <c r="F72" i="11"/>
  <c r="E15" i="13"/>
  <c r="E72" i="13" s="1"/>
  <c r="D18" i="15"/>
  <c r="D42" i="15" s="1"/>
  <c r="E73" i="11"/>
  <c r="B133" i="13"/>
  <c r="D191" i="13" s="1"/>
  <c r="D246" i="13"/>
  <c r="C125" i="13"/>
  <c r="E183" i="13" s="1"/>
  <c r="E238" i="13"/>
  <c r="F202" i="18"/>
  <c r="F135" i="18"/>
  <c r="E22" i="18"/>
  <c r="E75" i="18" s="1"/>
  <c r="E106" i="11"/>
  <c r="F14" i="18"/>
  <c r="F67" i="18" s="1"/>
  <c r="F98" i="11"/>
  <c r="B32" i="15"/>
  <c r="F237" i="13"/>
  <c r="D124" i="13"/>
  <c r="F182" i="13" s="1"/>
  <c r="C66" i="15"/>
  <c r="C24" i="13"/>
  <c r="C81" i="13" s="1"/>
  <c r="D16" i="13"/>
  <c r="D73" i="13" s="1"/>
  <c r="B130" i="13"/>
  <c r="D188" i="13" s="1"/>
  <c r="D243" i="13"/>
  <c r="D78" i="11"/>
  <c r="C23" i="15"/>
  <c r="C47" i="15" s="1"/>
  <c r="E19" i="18"/>
  <c r="E72" i="18" s="1"/>
  <c r="E103" i="11"/>
  <c r="D253" i="18"/>
  <c r="E143" i="18"/>
  <c r="E210" i="18"/>
  <c r="D81" i="11"/>
  <c r="C26" i="15"/>
  <c r="C50" i="15" s="1"/>
  <c r="C21" i="13"/>
  <c r="C78" i="13" s="1"/>
  <c r="E140" i="18"/>
  <c r="E207" i="18"/>
  <c r="F36" i="7"/>
  <c r="G45" i="10" s="1"/>
  <c r="J96" i="10"/>
  <c r="J11" i="10"/>
  <c r="I110" i="10"/>
  <c r="H96" i="4"/>
  <c r="F96" i="4"/>
  <c r="G60" i="10"/>
  <c r="G110" i="10"/>
  <c r="H11" i="10"/>
  <c r="D45" i="10"/>
  <c r="E96" i="10"/>
  <c r="L58" i="4"/>
  <c r="M55" i="4" s="1"/>
  <c r="M56" i="4" s="1"/>
  <c r="M57" i="4" s="1"/>
  <c r="E187" i="18"/>
  <c r="F232" i="18"/>
  <c r="F165" i="18"/>
  <c r="D247" i="18"/>
  <c r="D184" i="18"/>
  <c r="F44" i="18"/>
  <c r="F97" i="18" s="1"/>
  <c r="F113" i="12"/>
  <c r="E14" i="15"/>
  <c r="E38" i="15" s="1"/>
  <c r="F69" i="11"/>
  <c r="F34" i="18"/>
  <c r="F87" i="18" s="1"/>
  <c r="F103" i="12"/>
  <c r="F37" i="18"/>
  <c r="F90" i="18" s="1"/>
  <c r="F106" i="12"/>
  <c r="H198" i="18"/>
  <c r="H131" i="18"/>
  <c r="D41" i="13"/>
  <c r="D98" i="13" s="1"/>
  <c r="E52" i="12"/>
  <c r="E248" i="13"/>
  <c r="C135" i="13"/>
  <c r="E193" i="13" s="1"/>
  <c r="E40" i="13"/>
  <c r="E97" i="13" s="1"/>
  <c r="F51" i="12"/>
  <c r="F35" i="18"/>
  <c r="F88" i="18" s="1"/>
  <c r="F104" i="12"/>
  <c r="F229" i="18"/>
  <c r="F162" i="18"/>
  <c r="G197" i="18"/>
  <c r="G130" i="18"/>
  <c r="D28" i="13"/>
  <c r="D85" i="13" s="1"/>
  <c r="E278" i="13"/>
  <c r="C168" i="13"/>
  <c r="E227" i="13" s="1"/>
  <c r="F49" i="18"/>
  <c r="F102" i="18" s="1"/>
  <c r="F118" i="12"/>
  <c r="E272" i="13"/>
  <c r="C159" i="13"/>
  <c r="E218" i="13" s="1"/>
  <c r="D47" i="13"/>
  <c r="D104" i="13" s="1"/>
  <c r="E58" i="12"/>
  <c r="D23" i="13"/>
  <c r="D80" i="13" s="1"/>
  <c r="F230" i="18"/>
  <c r="F163" i="18"/>
  <c r="E11" i="13"/>
  <c r="D25" i="19"/>
  <c r="D56" i="19" s="1"/>
  <c r="E86" i="12"/>
  <c r="F21" i="18"/>
  <c r="F74" i="18" s="1"/>
  <c r="F105" i="11"/>
  <c r="F16" i="18"/>
  <c r="F69" i="18" s="1"/>
  <c r="F100" i="11"/>
  <c r="D20" i="19"/>
  <c r="D51" i="19" s="1"/>
  <c r="E81" i="12"/>
  <c r="J294" i="13"/>
  <c r="J301" i="13" s="1"/>
  <c r="H28" i="7" s="1"/>
  <c r="J280" i="13"/>
  <c r="J279" i="13"/>
  <c r="J255" i="13"/>
  <c r="J223" i="13"/>
  <c r="J221" i="13"/>
  <c r="J222" i="13"/>
  <c r="J254" i="13"/>
  <c r="J199" i="13"/>
  <c r="E58" i="13"/>
  <c r="E115" i="13" s="1"/>
  <c r="F69" i="12"/>
  <c r="F47" i="18"/>
  <c r="F100" i="18" s="1"/>
  <c r="F116" i="12"/>
  <c r="E52" i="4"/>
  <c r="D115" i="18"/>
  <c r="J23" i="4"/>
  <c r="G35" i="7" s="1"/>
  <c r="G36" i="7" s="1"/>
  <c r="F25" i="18"/>
  <c r="F78" i="18" s="1"/>
  <c r="F109" i="11"/>
  <c r="F36" i="18"/>
  <c r="F89" i="18" s="1"/>
  <c r="F105" i="12"/>
  <c r="E50" i="18"/>
  <c r="E103" i="18" s="1"/>
  <c r="E119" i="12"/>
  <c r="J34" i="16"/>
  <c r="D13" i="13"/>
  <c r="D70" i="13" s="1"/>
  <c r="C33" i="19"/>
  <c r="D94" i="12"/>
  <c r="D15" i="19"/>
  <c r="D46" i="19" s="1"/>
  <c r="E76" i="12"/>
  <c r="E260" i="13"/>
  <c r="C147" i="13"/>
  <c r="E206" i="13" s="1"/>
  <c r="E270" i="13"/>
  <c r="C157" i="13"/>
  <c r="E216" i="13" s="1"/>
  <c r="D19" i="19"/>
  <c r="D50" i="19" s="1"/>
  <c r="E80" i="12"/>
  <c r="D28" i="15"/>
  <c r="D52" i="15" s="1"/>
  <c r="E83" i="11"/>
  <c r="E236" i="13"/>
  <c r="C123" i="13"/>
  <c r="E181" i="13" s="1"/>
  <c r="M38" i="4"/>
  <c r="M39" i="4" s="1"/>
  <c r="E167" i="19"/>
  <c r="C125" i="19"/>
  <c r="C142" i="19" s="1"/>
  <c r="E155" i="19" s="1"/>
  <c r="C124" i="19"/>
  <c r="C141" i="19" s="1"/>
  <c r="E163" i="19"/>
  <c r="C126" i="19"/>
  <c r="C143" i="19" s="1"/>
  <c r="E156" i="19" s="1"/>
  <c r="E164" i="19"/>
  <c r="E268" i="13"/>
  <c r="C155" i="13"/>
  <c r="E214" i="13" s="1"/>
  <c r="D116" i="18"/>
  <c r="D44" i="13"/>
  <c r="D101" i="13" s="1"/>
  <c r="E55" i="12"/>
  <c r="D18" i="13"/>
  <c r="D75" i="13" s="1"/>
  <c r="D17" i="19"/>
  <c r="D48" i="19" s="1"/>
  <c r="E78" i="12"/>
  <c r="E52" i="18"/>
  <c r="E105" i="18" s="1"/>
  <c r="F173" i="18" s="1"/>
  <c r="E121" i="12"/>
  <c r="J218" i="18"/>
  <c r="J151" i="18"/>
  <c r="J181" i="19"/>
  <c r="J180" i="19"/>
  <c r="J185" i="19" s="1"/>
  <c r="H33" i="7" s="1"/>
  <c r="D43" i="13"/>
  <c r="D100" i="13" s="1"/>
  <c r="E54" i="12"/>
  <c r="D27" i="15"/>
  <c r="D51" i="15" s="1"/>
  <c r="E82" i="11"/>
  <c r="D22" i="15"/>
  <c r="D46" i="15" s="1"/>
  <c r="E77" i="11"/>
  <c r="D51" i="13"/>
  <c r="D108" i="13" s="1"/>
  <c r="E62" i="12"/>
  <c r="H15" i="18"/>
  <c r="H68" i="18" s="1"/>
  <c r="H99" i="11"/>
  <c r="I15" i="18" s="1"/>
  <c r="I68" i="18" s="1"/>
  <c r="D178" i="13"/>
  <c r="F221" i="18"/>
  <c r="F154" i="18"/>
  <c r="C92" i="13"/>
  <c r="F222" i="18"/>
  <c r="F155" i="18"/>
  <c r="F225" i="18"/>
  <c r="F158" i="18"/>
  <c r="F40" i="18"/>
  <c r="F93" i="18" s="1"/>
  <c r="F109" i="12"/>
  <c r="E263" i="13"/>
  <c r="C150" i="13"/>
  <c r="E209" i="13" s="1"/>
  <c r="D26" i="13"/>
  <c r="D83" i="13" s="1"/>
  <c r="F262" i="13"/>
  <c r="D149" i="13"/>
  <c r="F208" i="13" s="1"/>
  <c r="F223" i="18"/>
  <c r="F156" i="18"/>
  <c r="E13" i="15"/>
  <c r="F68" i="11"/>
  <c r="D15" i="15"/>
  <c r="D39" i="15" s="1"/>
  <c r="E70" i="11"/>
  <c r="F43" i="18"/>
  <c r="F96" i="18" s="1"/>
  <c r="F112" i="12"/>
  <c r="D22" i="19"/>
  <c r="D53" i="19" s="1"/>
  <c r="E83" i="12"/>
  <c r="D28" i="19"/>
  <c r="D59" i="19" s="1"/>
  <c r="E89" i="12"/>
  <c r="F237" i="18"/>
  <c r="F170" i="18"/>
  <c r="D31" i="13"/>
  <c r="D88" i="13" s="1"/>
  <c r="C31" i="19"/>
  <c r="D92" i="12"/>
  <c r="M62" i="4"/>
  <c r="M63" i="4" s="1"/>
  <c r="C32" i="19"/>
  <c r="D93" i="12"/>
  <c r="D50" i="13"/>
  <c r="D107" i="13" s="1"/>
  <c r="E61" i="12"/>
  <c r="E269" i="13"/>
  <c r="C156" i="13"/>
  <c r="E215" i="13" s="1"/>
  <c r="E245" i="13"/>
  <c r="C132" i="13"/>
  <c r="E190" i="13" s="1"/>
  <c r="E18" i="19"/>
  <c r="E49" i="19" s="1"/>
  <c r="F79" i="12"/>
  <c r="D68" i="13"/>
  <c r="F209" i="18"/>
  <c r="F142" i="18"/>
  <c r="F204" i="18"/>
  <c r="F137" i="18"/>
  <c r="F11" i="18"/>
  <c r="F64" i="18" s="1"/>
  <c r="F95" i="11"/>
  <c r="F17" i="13"/>
  <c r="F74" i="13" s="1"/>
  <c r="F277" i="13"/>
  <c r="D167" i="13"/>
  <c r="F226" i="13" s="1"/>
  <c r="F235" i="18"/>
  <c r="F168" i="18"/>
  <c r="F213" i="18"/>
  <c r="F146" i="18"/>
  <c r="F224" i="18"/>
  <c r="F157" i="18"/>
  <c r="E238" i="18"/>
  <c r="E171" i="18"/>
  <c r="E235" i="13"/>
  <c r="C122" i="13"/>
  <c r="E180" i="13" s="1"/>
  <c r="D38" i="13"/>
  <c r="D95" i="13" s="1"/>
  <c r="E49" i="12"/>
  <c r="D48" i="13"/>
  <c r="D105" i="13" s="1"/>
  <c r="E59" i="12"/>
  <c r="D14" i="13"/>
  <c r="D71" i="13" s="1"/>
  <c r="G56" i="18"/>
  <c r="G109" i="18" s="1"/>
  <c r="G125" i="12"/>
  <c r="F46" i="18"/>
  <c r="F99" i="18" s="1"/>
  <c r="F115" i="12"/>
  <c r="B39" i="19"/>
  <c r="D46" i="13"/>
  <c r="D103" i="13" s="1"/>
  <c r="E57" i="12"/>
  <c r="E12" i="13"/>
  <c r="E69" i="13" s="1"/>
  <c r="D30" i="15"/>
  <c r="D54" i="15" s="1"/>
  <c r="E85" i="11"/>
  <c r="D37" i="19"/>
  <c r="D65" i="19" s="1"/>
  <c r="E98" i="12"/>
  <c r="D25" i="13"/>
  <c r="D82" i="13" s="1"/>
  <c r="E242" i="13"/>
  <c r="C129" i="13"/>
  <c r="E187" i="13" s="1"/>
  <c r="I151" i="18"/>
  <c r="I218" i="18"/>
  <c r="E265" i="13"/>
  <c r="C152" i="13"/>
  <c r="E211" i="13" s="1"/>
  <c r="E273" i="13"/>
  <c r="C160" i="13"/>
  <c r="E219" i="13" s="1"/>
  <c r="H203" i="18"/>
  <c r="H136" i="18"/>
  <c r="D56" i="13"/>
  <c r="D113" i="13" s="1"/>
  <c r="E67" i="12"/>
  <c r="F39" i="18"/>
  <c r="F92" i="18" s="1"/>
  <c r="F108" i="12"/>
  <c r="D27" i="13"/>
  <c r="D84" i="13" s="1"/>
  <c r="D49" i="13"/>
  <c r="D106" i="13" s="1"/>
  <c r="E60" i="12"/>
  <c r="F45" i="18"/>
  <c r="F98" i="18" s="1"/>
  <c r="F114" i="12"/>
  <c r="D63" i="12"/>
  <c r="C52" i="13"/>
  <c r="C109" i="13" s="1"/>
  <c r="E51" i="18"/>
  <c r="E104" i="18" s="1"/>
  <c r="F172" i="18" s="1"/>
  <c r="E120" i="12"/>
  <c r="H10" i="7"/>
  <c r="K38" i="6"/>
  <c r="F228" i="18"/>
  <c r="F161" i="18"/>
  <c r="F19" i="13"/>
  <c r="F76" i="13" s="1"/>
  <c r="B65" i="13"/>
  <c r="D200" i="13" s="1"/>
  <c r="B10" i="13"/>
  <c r="D29" i="15"/>
  <c r="D53" i="15" s="1"/>
  <c r="E84" i="11"/>
  <c r="D37" i="15"/>
  <c r="F231" i="18"/>
  <c r="F164" i="18"/>
  <c r="E253" i="13"/>
  <c r="C140" i="13"/>
  <c r="E198" i="13" s="1"/>
  <c r="D188" i="18"/>
  <c r="D251" i="18"/>
  <c r="D16" i="15"/>
  <c r="D40" i="15" s="1"/>
  <c r="E71" i="11"/>
  <c r="F54" i="18"/>
  <c r="F107" i="18" s="1"/>
  <c r="F123" i="12"/>
  <c r="D250" i="18"/>
  <c r="D187" i="18"/>
  <c r="H157" i="10"/>
  <c r="H172" i="10"/>
  <c r="H127" i="10"/>
  <c r="H34" i="10"/>
  <c r="H142" i="10"/>
  <c r="D45" i="13"/>
  <c r="D102" i="13" s="1"/>
  <c r="E56" i="12"/>
  <c r="D25" i="15"/>
  <c r="D49" i="15" s="1"/>
  <c r="E80" i="11"/>
  <c r="D16" i="19"/>
  <c r="D47" i="19" s="1"/>
  <c r="E77" i="12"/>
  <c r="G38" i="18"/>
  <c r="G91" i="18" s="1"/>
  <c r="G107" i="12"/>
  <c r="D26" i="19"/>
  <c r="D57" i="19" s="1"/>
  <c r="E87" i="12"/>
  <c r="F199" i="18"/>
  <c r="F132" i="18"/>
  <c r="E126" i="13"/>
  <c r="G184" i="13" s="1"/>
  <c r="G239" i="13"/>
  <c r="L50" i="4"/>
  <c r="L52" i="4" s="1"/>
  <c r="F23" i="18"/>
  <c r="F76" i="18" s="1"/>
  <c r="F107" i="11"/>
  <c r="G27" i="18"/>
  <c r="G80" i="18" s="1"/>
  <c r="G111" i="11"/>
  <c r="D182" i="18"/>
  <c r="D245" i="18"/>
  <c r="F12" i="18"/>
  <c r="F65" i="18" s="1"/>
  <c r="F96" i="11"/>
  <c r="F24" i="18"/>
  <c r="F77" i="18" s="1"/>
  <c r="F108" i="11"/>
  <c r="G13" i="18"/>
  <c r="G66" i="18" s="1"/>
  <c r="G97" i="11"/>
  <c r="E30" i="13"/>
  <c r="E87" i="13" s="1"/>
  <c r="F20" i="18"/>
  <c r="F73" i="18" s="1"/>
  <c r="F104" i="11"/>
  <c r="G28" i="18"/>
  <c r="G81" i="18" s="1"/>
  <c r="G112" i="11"/>
  <c r="D35" i="19"/>
  <c r="D63" i="19" s="1"/>
  <c r="E96" i="12"/>
  <c r="D29" i="19"/>
  <c r="D60" i="19" s="1"/>
  <c r="E90" i="12"/>
  <c r="D257" i="13"/>
  <c r="B144" i="13"/>
  <c r="D203" i="13" s="1"/>
  <c r="E264" i="13"/>
  <c r="C151" i="13"/>
  <c r="E210" i="13" s="1"/>
  <c r="F55" i="18"/>
  <c r="F108" i="18" s="1"/>
  <c r="F124" i="12"/>
  <c r="F48" i="18"/>
  <c r="F101" i="18" s="1"/>
  <c r="F117" i="12"/>
  <c r="F29" i="13"/>
  <c r="F86" i="13" s="1"/>
  <c r="G241" i="18"/>
  <c r="G177" i="18"/>
  <c r="F234" i="18"/>
  <c r="F167" i="18"/>
  <c r="E258" i="13"/>
  <c r="C145" i="13"/>
  <c r="E204" i="13" s="1"/>
  <c r="F29" i="18"/>
  <c r="F82" i="18" s="1"/>
  <c r="F113" i="11"/>
  <c r="D39" i="13"/>
  <c r="D96" i="13" s="1"/>
  <c r="E50" i="12"/>
  <c r="F234" i="13"/>
  <c r="D121" i="13"/>
  <c r="F179" i="13" s="1"/>
  <c r="E247" i="13"/>
  <c r="C134" i="13"/>
  <c r="E192" i="13" s="1"/>
  <c r="D20" i="13"/>
  <c r="D77" i="13" s="1"/>
  <c r="D14" i="19"/>
  <c r="E75" i="12"/>
  <c r="D27" i="19"/>
  <c r="D58" i="19" s="1"/>
  <c r="E88" i="12"/>
  <c r="F57" i="18"/>
  <c r="F110" i="18" s="1"/>
  <c r="F126" i="12"/>
  <c r="D57" i="13"/>
  <c r="D114" i="13" s="1"/>
  <c r="E68" i="12"/>
  <c r="D20" i="15"/>
  <c r="D44" i="15" s="1"/>
  <c r="E75" i="11"/>
  <c r="D37" i="13"/>
  <c r="D94" i="13" s="1"/>
  <c r="E48" i="12"/>
  <c r="F18" i="18"/>
  <c r="F71" i="18" s="1"/>
  <c r="F102" i="11"/>
  <c r="E244" i="13"/>
  <c r="C131" i="13"/>
  <c r="E189" i="13" s="1"/>
  <c r="E275" i="13"/>
  <c r="C165" i="13"/>
  <c r="E224" i="13" s="1"/>
  <c r="F227" i="18"/>
  <c r="F160" i="18"/>
  <c r="E53" i="18"/>
  <c r="E106" i="18" s="1"/>
  <c r="F174" i="18" s="1"/>
  <c r="E122" i="12"/>
  <c r="D61" i="15"/>
  <c r="E249" i="13"/>
  <c r="C136" i="13"/>
  <c r="E194" i="13" s="1"/>
  <c r="E271" i="13"/>
  <c r="C158" i="13"/>
  <c r="E217" i="13" s="1"/>
  <c r="F233" i="18"/>
  <c r="F166" i="18"/>
  <c r="B161" i="13"/>
  <c r="D220" i="13" s="1"/>
  <c r="D274" i="13"/>
  <c r="E233" i="13"/>
  <c r="C120" i="13"/>
  <c r="H10" i="18"/>
  <c r="H63" i="18" s="1"/>
  <c r="H94" i="11"/>
  <c r="I10" i="18" s="1"/>
  <c r="I63" i="18" s="1"/>
  <c r="D183" i="18"/>
  <c r="D246" i="18"/>
  <c r="E128" i="13"/>
  <c r="G186" i="13" s="1"/>
  <c r="G241" i="13"/>
  <c r="D23" i="19"/>
  <c r="D54" i="19" s="1"/>
  <c r="E84" i="12"/>
  <c r="D24" i="15"/>
  <c r="D48" i="15" s="1"/>
  <c r="E79" i="11"/>
  <c r="F41" i="18"/>
  <c r="F94" i="18" s="1"/>
  <c r="F110" i="12"/>
  <c r="G9" i="18"/>
  <c r="G62" i="18" s="1"/>
  <c r="G93" i="11"/>
  <c r="E250" i="13"/>
  <c r="C137" i="13"/>
  <c r="E195" i="13" s="1"/>
  <c r="D59" i="13"/>
  <c r="D116" i="13" s="1"/>
  <c r="E70" i="12"/>
  <c r="D254" i="18"/>
  <c r="F19" i="15"/>
  <c r="F43" i="15" s="1"/>
  <c r="G74" i="11"/>
  <c r="C63" i="15"/>
  <c r="F239" i="18"/>
  <c r="F175" i="18"/>
  <c r="C30" i="19"/>
  <c r="C61" i="19" s="1"/>
  <c r="D91" i="12"/>
  <c r="K49" i="17"/>
  <c r="K39" i="17"/>
  <c r="F42" i="18"/>
  <c r="F95" i="18" s="1"/>
  <c r="F111" i="12"/>
  <c r="E267" i="13"/>
  <c r="C154" i="13"/>
  <c r="E213" i="13" s="1"/>
  <c r="G226" i="18"/>
  <c r="G159" i="18"/>
  <c r="D21" i="19"/>
  <c r="D52" i="19" s="1"/>
  <c r="E82" i="12"/>
  <c r="F211" i="18"/>
  <c r="F144" i="18"/>
  <c r="G215" i="18"/>
  <c r="G148" i="18"/>
  <c r="F200" i="18"/>
  <c r="F133" i="18"/>
  <c r="D154" i="19"/>
  <c r="D159" i="19" s="1"/>
  <c r="D168" i="19"/>
  <c r="D169" i="19"/>
  <c r="F212" i="18"/>
  <c r="F145" i="18"/>
  <c r="G201" i="18"/>
  <c r="G134" i="18"/>
  <c r="F252" i="13"/>
  <c r="D139" i="13"/>
  <c r="F197" i="13" s="1"/>
  <c r="K22" i="4"/>
  <c r="K18" i="4"/>
  <c r="K14" i="4"/>
  <c r="K10" i="4"/>
  <c r="K19" i="4"/>
  <c r="K15" i="4"/>
  <c r="K11" i="4"/>
  <c r="K20" i="4"/>
  <c r="K16" i="4"/>
  <c r="K12" i="4"/>
  <c r="K8" i="4"/>
  <c r="K21" i="4"/>
  <c r="K17" i="4"/>
  <c r="K13" i="4"/>
  <c r="K9" i="4"/>
  <c r="H158" i="10"/>
  <c r="H173" i="10"/>
  <c r="H128" i="10"/>
  <c r="H35" i="10"/>
  <c r="H143" i="10"/>
  <c r="F208" i="18"/>
  <c r="F141" i="18"/>
  <c r="G216" i="18"/>
  <c r="G149" i="18"/>
  <c r="F51" i="4"/>
  <c r="F10" i="5"/>
  <c r="E10" i="5" s="1"/>
  <c r="B61" i="13"/>
  <c r="D42" i="13"/>
  <c r="D99" i="13" s="1"/>
  <c r="E53" i="12"/>
  <c r="F240" i="18"/>
  <c r="F176" i="18"/>
  <c r="F236" i="18"/>
  <c r="F169" i="18"/>
  <c r="E138" i="13"/>
  <c r="G196" i="13" s="1"/>
  <c r="G251" i="13"/>
  <c r="D34" i="19"/>
  <c r="D62" i="19" s="1"/>
  <c r="E95" i="12"/>
  <c r="D36" i="13"/>
  <c r="D93" i="13" s="1"/>
  <c r="E47" i="12"/>
  <c r="F217" i="18"/>
  <c r="F150" i="18"/>
  <c r="E261" i="13"/>
  <c r="C148" i="13"/>
  <c r="E207" i="13" s="1"/>
  <c r="D119" i="18"/>
  <c r="E266" i="13"/>
  <c r="C153" i="13"/>
  <c r="E212" i="13" s="1"/>
  <c r="E36" i="19"/>
  <c r="E64" i="19" s="1"/>
  <c r="F97" i="12"/>
  <c r="E240" i="13"/>
  <c r="C127" i="13"/>
  <c r="E185" i="13" s="1"/>
  <c r="C45" i="19"/>
  <c r="C39" i="19"/>
  <c r="J267" i="18"/>
  <c r="J268" i="18"/>
  <c r="J243" i="18"/>
  <c r="J265" i="18"/>
  <c r="J214" i="18"/>
  <c r="J205" i="18"/>
  <c r="J266" i="18"/>
  <c r="J219" i="18"/>
  <c r="J152" i="18"/>
  <c r="F242" i="18"/>
  <c r="F178" i="18"/>
  <c r="E276" i="13"/>
  <c r="C166" i="13"/>
  <c r="E225" i="13" s="1"/>
  <c r="E259" i="13"/>
  <c r="C146" i="13"/>
  <c r="E205" i="13" s="1"/>
  <c r="F206" i="18"/>
  <c r="F139" i="18"/>
  <c r="D22" i="13"/>
  <c r="D79" i="13" s="1"/>
  <c r="F33" i="18"/>
  <c r="F86" i="18" s="1"/>
  <c r="F102" i="12"/>
  <c r="D35" i="13"/>
  <c r="E46" i="12"/>
  <c r="D24" i="19"/>
  <c r="D55" i="19" s="1"/>
  <c r="E85" i="12"/>
  <c r="C96" i="4" l="1"/>
  <c r="C68" i="4"/>
  <c r="L43" i="4"/>
  <c r="K68" i="4"/>
  <c r="D46" i="4"/>
  <c r="D68" i="4" s="1"/>
  <c r="B42" i="7"/>
  <c r="C110" i="10" s="1"/>
  <c r="D110" i="10"/>
  <c r="E11" i="10"/>
  <c r="D67" i="4"/>
  <c r="E67" i="4"/>
  <c r="F45" i="10"/>
  <c r="F60" i="10"/>
  <c r="G11" i="10"/>
  <c r="E96" i="4"/>
  <c r="G96" i="10"/>
  <c r="E99" i="15"/>
  <c r="E98" i="15"/>
  <c r="E85" i="15"/>
  <c r="K45" i="4"/>
  <c r="K67" i="4" s="1"/>
  <c r="K66" i="4"/>
  <c r="B97" i="4" s="1"/>
  <c r="G164" i="10"/>
  <c r="F94" i="15"/>
  <c r="F93" i="15"/>
  <c r="D60" i="15"/>
  <c r="D65" i="15"/>
  <c r="F86" i="15" s="1"/>
  <c r="G179" i="10"/>
  <c r="G23" i="9"/>
  <c r="G134" i="10"/>
  <c r="G149" i="10"/>
  <c r="B12" i="15"/>
  <c r="D95" i="15" s="1"/>
  <c r="G76" i="11"/>
  <c r="F21" i="15"/>
  <c r="F45" i="15" s="1"/>
  <c r="E245" i="18"/>
  <c r="E115" i="18"/>
  <c r="F246" i="18" s="1"/>
  <c r="G86" i="11"/>
  <c r="F31" i="15"/>
  <c r="F55" i="15" s="1"/>
  <c r="B35" i="15"/>
  <c r="D97" i="15" s="1"/>
  <c r="C32" i="15"/>
  <c r="C35" i="15" s="1"/>
  <c r="E116" i="18"/>
  <c r="F247" i="18" s="1"/>
  <c r="E119" i="18"/>
  <c r="F251" i="18" s="1"/>
  <c r="D284" i="13"/>
  <c r="C33" i="13"/>
  <c r="C65" i="13" s="1"/>
  <c r="E200" i="13" s="1"/>
  <c r="F238" i="13"/>
  <c r="D125" i="13"/>
  <c r="F183" i="13" s="1"/>
  <c r="E124" i="13"/>
  <c r="G182" i="13" s="1"/>
  <c r="G237" i="13"/>
  <c r="E253" i="18"/>
  <c r="E81" i="11"/>
  <c r="D26" i="15"/>
  <c r="D50" i="15" s="1"/>
  <c r="E78" i="11"/>
  <c r="D23" i="15"/>
  <c r="D47" i="15" s="1"/>
  <c r="E16" i="13"/>
  <c r="E73" i="13" s="1"/>
  <c r="F106" i="11"/>
  <c r="F22" i="18"/>
  <c r="F75" i="18" s="1"/>
  <c r="F73" i="11"/>
  <c r="E18" i="15"/>
  <c r="E42" i="15" s="1"/>
  <c r="F17" i="15"/>
  <c r="F41" i="15" s="1"/>
  <c r="G72" i="11"/>
  <c r="G135" i="18"/>
  <c r="G202" i="18"/>
  <c r="E15" i="6"/>
  <c r="D260" i="18" s="1"/>
  <c r="D262" i="18" s="1"/>
  <c r="D21" i="13"/>
  <c r="D78" i="13" s="1"/>
  <c r="F103" i="11"/>
  <c r="F19" i="18"/>
  <c r="F72" i="18" s="1"/>
  <c r="D24" i="13"/>
  <c r="D81" i="13" s="1"/>
  <c r="F210" i="18"/>
  <c r="F143" i="18"/>
  <c r="D66" i="15"/>
  <c r="D191" i="18"/>
  <c r="E34" i="6" s="1"/>
  <c r="D285" i="13"/>
  <c r="C130" i="13"/>
  <c r="E188" i="13" s="1"/>
  <c r="E243" i="13"/>
  <c r="F207" i="18"/>
  <c r="F140" i="18"/>
  <c r="E246" i="13"/>
  <c r="C133" i="13"/>
  <c r="E191" i="13" s="1"/>
  <c r="G14" i="18"/>
  <c r="G67" i="18" s="1"/>
  <c r="G98" i="11"/>
  <c r="F15" i="13"/>
  <c r="F72" i="13" s="1"/>
  <c r="M58" i="4"/>
  <c r="N55" i="4" s="1"/>
  <c r="N56" i="4" s="1"/>
  <c r="N57" i="4" s="1"/>
  <c r="M64" i="4"/>
  <c r="N61" i="4" s="1"/>
  <c r="N62" i="4" s="1"/>
  <c r="N63" i="4" s="1"/>
  <c r="D92" i="13"/>
  <c r="F244" i="13"/>
  <c r="D131" i="13"/>
  <c r="F189" i="13" s="1"/>
  <c r="J273" i="18"/>
  <c r="H32" i="7" s="1"/>
  <c r="F258" i="13"/>
  <c r="D145" i="13"/>
  <c r="F204" i="13" s="1"/>
  <c r="E42" i="13"/>
  <c r="E99" i="13" s="1"/>
  <c r="F53" i="12"/>
  <c r="H11" i="7"/>
  <c r="K35" i="6"/>
  <c r="E59" i="13"/>
  <c r="E116" i="13" s="1"/>
  <c r="F70" i="12"/>
  <c r="H9" i="18"/>
  <c r="H62" i="18" s="1"/>
  <c r="H93" i="11"/>
  <c r="I9" i="18" s="1"/>
  <c r="I62" i="18" s="1"/>
  <c r="G41" i="18"/>
  <c r="G94" i="18" s="1"/>
  <c r="G110" i="12"/>
  <c r="J198" i="18"/>
  <c r="J131" i="18"/>
  <c r="G18" i="18"/>
  <c r="G71" i="18" s="1"/>
  <c r="G102" i="11"/>
  <c r="E20" i="15"/>
  <c r="E44" i="15" s="1"/>
  <c r="F75" i="11"/>
  <c r="E57" i="13"/>
  <c r="E114" i="13" s="1"/>
  <c r="F68" i="12"/>
  <c r="E27" i="19"/>
  <c r="E58" i="19" s="1"/>
  <c r="F88" i="12"/>
  <c r="E20" i="13"/>
  <c r="E77" i="13" s="1"/>
  <c r="H251" i="13"/>
  <c r="F138" i="13"/>
  <c r="H196" i="13" s="1"/>
  <c r="G236" i="18"/>
  <c r="G169" i="18"/>
  <c r="H216" i="18"/>
  <c r="H149" i="18"/>
  <c r="E139" i="13"/>
  <c r="G197" i="13" s="1"/>
  <c r="G252" i="13"/>
  <c r="G212" i="18"/>
  <c r="G145" i="18"/>
  <c r="H27" i="18"/>
  <c r="H80" i="18" s="1"/>
  <c r="H111" i="11"/>
  <c r="I27" i="18" s="1"/>
  <c r="I80" i="18" s="1"/>
  <c r="H159" i="18"/>
  <c r="H226" i="18"/>
  <c r="F267" i="13"/>
  <c r="D154" i="13"/>
  <c r="F213" i="13" s="1"/>
  <c r="G54" i="18"/>
  <c r="G107" i="18" s="1"/>
  <c r="G123" i="12"/>
  <c r="H241" i="13"/>
  <c r="F128" i="13"/>
  <c r="H186" i="13" s="1"/>
  <c r="I157" i="10"/>
  <c r="I172" i="10"/>
  <c r="I142" i="10"/>
  <c r="I127" i="10"/>
  <c r="I34" i="10"/>
  <c r="E274" i="13"/>
  <c r="C161" i="13"/>
  <c r="E220" i="13" s="1"/>
  <c r="G45" i="18"/>
  <c r="G98" i="18" s="1"/>
  <c r="G114" i="12"/>
  <c r="E27" i="13"/>
  <c r="E84" i="13" s="1"/>
  <c r="G39" i="18"/>
  <c r="G92" i="18" s="1"/>
  <c r="G108" i="12"/>
  <c r="E25" i="13"/>
  <c r="E82" i="13" s="1"/>
  <c r="E30" i="15"/>
  <c r="E54" i="15" s="1"/>
  <c r="F85" i="11"/>
  <c r="F268" i="13"/>
  <c r="D155" i="13"/>
  <c r="F214" i="13" s="1"/>
  <c r="H56" i="18"/>
  <c r="H109" i="18" s="1"/>
  <c r="H125" i="12"/>
  <c r="I56" i="18" s="1"/>
  <c r="I109" i="18" s="1"/>
  <c r="E14" i="13"/>
  <c r="E71" i="13" s="1"/>
  <c r="E38" i="13"/>
  <c r="E95" i="13" s="1"/>
  <c r="F49" i="12"/>
  <c r="G17" i="13"/>
  <c r="G74" i="13" s="1"/>
  <c r="H17" i="13"/>
  <c r="H74" i="13" s="1"/>
  <c r="E50" i="13"/>
  <c r="E107" i="13" s="1"/>
  <c r="F61" i="12"/>
  <c r="E22" i="19"/>
  <c r="E53" i="19" s="1"/>
  <c r="F83" i="12"/>
  <c r="F13" i="15"/>
  <c r="G68" i="11"/>
  <c r="E26" i="13"/>
  <c r="E83" i="13" s="1"/>
  <c r="G40" i="18"/>
  <c r="G93" i="18" s="1"/>
  <c r="G109" i="12"/>
  <c r="E257" i="13"/>
  <c r="C144" i="13"/>
  <c r="E203" i="13" s="1"/>
  <c r="D229" i="13"/>
  <c r="F273" i="13"/>
  <c r="D160" i="13"/>
  <c r="F219" i="13" s="1"/>
  <c r="F266" i="13"/>
  <c r="D153" i="13"/>
  <c r="F212" i="13" s="1"/>
  <c r="E28" i="15"/>
  <c r="E52" i="15" s="1"/>
  <c r="F83" i="11"/>
  <c r="E15" i="19"/>
  <c r="E46" i="19" s="1"/>
  <c r="F76" i="12"/>
  <c r="E13" i="13"/>
  <c r="E70" i="13" s="1"/>
  <c r="F238" i="18"/>
  <c r="F171" i="18"/>
  <c r="G25" i="18"/>
  <c r="G78" i="18" s="1"/>
  <c r="G109" i="11"/>
  <c r="F49" i="4"/>
  <c r="G235" i="18"/>
  <c r="G168" i="18"/>
  <c r="E20" i="19"/>
  <c r="E51" i="19" s="1"/>
  <c r="F81" i="12"/>
  <c r="G21" i="18"/>
  <c r="G74" i="18" s="1"/>
  <c r="G105" i="11"/>
  <c r="F11" i="13"/>
  <c r="E23" i="13"/>
  <c r="E80" i="13" s="1"/>
  <c r="G49" i="18"/>
  <c r="G102" i="18" s="1"/>
  <c r="G118" i="12"/>
  <c r="E28" i="13"/>
  <c r="E85" i="13" s="1"/>
  <c r="G262" i="13"/>
  <c r="E149" i="13"/>
  <c r="G208" i="13" s="1"/>
  <c r="G37" i="18"/>
  <c r="G90" i="18" s="1"/>
  <c r="G106" i="12"/>
  <c r="G44" i="18"/>
  <c r="G97" i="18" s="1"/>
  <c r="G113" i="12"/>
  <c r="E24" i="19"/>
  <c r="E55" i="19" s="1"/>
  <c r="F85" i="12"/>
  <c r="G33" i="18"/>
  <c r="G86" i="18" s="1"/>
  <c r="G102" i="12"/>
  <c r="E34" i="19"/>
  <c r="E62" i="19" s="1"/>
  <c r="F95" i="12"/>
  <c r="F264" i="13"/>
  <c r="D151" i="13"/>
  <c r="F210" i="13" s="1"/>
  <c r="B13" i="7"/>
  <c r="E39" i="6"/>
  <c r="K57" i="17"/>
  <c r="K59" i="17" s="1"/>
  <c r="H21" i="7"/>
  <c r="K48" i="6"/>
  <c r="G19" i="15"/>
  <c r="G43" i="15" s="1"/>
  <c r="H74" i="11"/>
  <c r="H19" i="15" s="1"/>
  <c r="H43" i="15" s="1"/>
  <c r="F278" i="13"/>
  <c r="D168" i="13"/>
  <c r="F227" i="13" s="1"/>
  <c r="H197" i="18"/>
  <c r="H130" i="18"/>
  <c r="G229" i="18"/>
  <c r="G162" i="18"/>
  <c r="I198" i="18"/>
  <c r="I131" i="18"/>
  <c r="G206" i="18"/>
  <c r="G139" i="18"/>
  <c r="F276" i="13"/>
  <c r="D166" i="13"/>
  <c r="F225" i="13" s="1"/>
  <c r="F242" i="13"/>
  <c r="D129" i="13"/>
  <c r="F187" i="13" s="1"/>
  <c r="G29" i="18"/>
  <c r="G82" i="18" s="1"/>
  <c r="G113" i="11"/>
  <c r="G55" i="18"/>
  <c r="G108" i="18" s="1"/>
  <c r="G124" i="12"/>
  <c r="E35" i="19"/>
  <c r="E63" i="19" s="1"/>
  <c r="F96" i="12"/>
  <c r="G20" i="18"/>
  <c r="G73" i="18" s="1"/>
  <c r="G104" i="11"/>
  <c r="H13" i="18"/>
  <c r="H66" i="18" s="1"/>
  <c r="H97" i="11"/>
  <c r="I13" i="18" s="1"/>
  <c r="I66" i="18" s="1"/>
  <c r="G12" i="18"/>
  <c r="G65" i="18" s="1"/>
  <c r="G96" i="11"/>
  <c r="H215" i="18"/>
  <c r="H148" i="18"/>
  <c r="L51" i="4"/>
  <c r="E26" i="19"/>
  <c r="E57" i="19" s="1"/>
  <c r="F87" i="12"/>
  <c r="E16" i="19"/>
  <c r="E47" i="19" s="1"/>
  <c r="F77" i="12"/>
  <c r="G239" i="18"/>
  <c r="G175" i="18"/>
  <c r="D282" i="13"/>
  <c r="D283" i="13"/>
  <c r="D52" i="13"/>
  <c r="D109" i="13" s="1"/>
  <c r="E63" i="12"/>
  <c r="G233" i="18"/>
  <c r="G166" i="18"/>
  <c r="F249" i="13"/>
  <c r="D136" i="13"/>
  <c r="F194" i="13" s="1"/>
  <c r="G227" i="18"/>
  <c r="G160" i="18"/>
  <c r="F247" i="13"/>
  <c r="D134" i="13"/>
  <c r="F192" i="13" s="1"/>
  <c r="B42" i="19"/>
  <c r="B12" i="19"/>
  <c r="H177" i="18"/>
  <c r="H241" i="18"/>
  <c r="F236" i="13"/>
  <c r="D123" i="13"/>
  <c r="F181" i="13" s="1"/>
  <c r="F260" i="13"/>
  <c r="D147" i="13"/>
  <c r="F206" i="13" s="1"/>
  <c r="H239" i="13"/>
  <c r="F126" i="13"/>
  <c r="H184" i="13" s="1"/>
  <c r="F233" i="13"/>
  <c r="D120" i="13"/>
  <c r="F272" i="13"/>
  <c r="D159" i="13"/>
  <c r="F218" i="13" s="1"/>
  <c r="E37" i="15"/>
  <c r="F248" i="13"/>
  <c r="D135" i="13"/>
  <c r="F193" i="13" s="1"/>
  <c r="G228" i="18"/>
  <c r="G161" i="18"/>
  <c r="C61" i="13"/>
  <c r="J203" i="18"/>
  <c r="J136" i="18"/>
  <c r="E22" i="15"/>
  <c r="E46" i="15" s="1"/>
  <c r="F77" i="11"/>
  <c r="E43" i="13"/>
  <c r="E100" i="13" s="1"/>
  <c r="F54" i="12"/>
  <c r="F52" i="18"/>
  <c r="F105" i="18" s="1"/>
  <c r="G173" i="18" s="1"/>
  <c r="F121" i="12"/>
  <c r="E18" i="13"/>
  <c r="E75" i="13" s="1"/>
  <c r="E247" i="18"/>
  <c r="E184" i="18"/>
  <c r="F235" i="13"/>
  <c r="D122" i="13"/>
  <c r="F180" i="13" s="1"/>
  <c r="G36" i="18"/>
  <c r="G89" i="18" s="1"/>
  <c r="G105" i="12"/>
  <c r="G213" i="18"/>
  <c r="G146" i="18"/>
  <c r="F58" i="13"/>
  <c r="F115" i="13" s="1"/>
  <c r="G69" i="12"/>
  <c r="G209" i="18"/>
  <c r="G142" i="18"/>
  <c r="E68" i="13"/>
  <c r="F245" i="13"/>
  <c r="D132" i="13"/>
  <c r="F190" i="13" s="1"/>
  <c r="G237" i="18"/>
  <c r="G170" i="18"/>
  <c r="F250" i="13"/>
  <c r="D137" i="13"/>
  <c r="F195" i="13" s="1"/>
  <c r="G35" i="18"/>
  <c r="G88" i="18" s="1"/>
  <c r="G104" i="12"/>
  <c r="E41" i="13"/>
  <c r="E98" i="13" s="1"/>
  <c r="F52" i="12"/>
  <c r="G225" i="18"/>
  <c r="G158" i="18"/>
  <c r="G232" i="18"/>
  <c r="G165" i="18"/>
  <c r="E114" i="18"/>
  <c r="G221" i="18"/>
  <c r="G154" i="18"/>
  <c r="C42" i="19"/>
  <c r="C12" i="19"/>
  <c r="F36" i="19"/>
  <c r="F64" i="19" s="1"/>
  <c r="G97" i="12"/>
  <c r="E251" i="18"/>
  <c r="E188" i="18"/>
  <c r="F163" i="19"/>
  <c r="D126" i="19"/>
  <c r="D143" i="19" s="1"/>
  <c r="F156" i="19" s="1"/>
  <c r="F167" i="19"/>
  <c r="F164" i="19"/>
  <c r="D125" i="19"/>
  <c r="D142" i="19" s="1"/>
  <c r="F155" i="19" s="1"/>
  <c r="D124" i="19"/>
  <c r="D141" i="19" s="1"/>
  <c r="K23" i="4"/>
  <c r="H35" i="7" s="1"/>
  <c r="H36" i="7" s="1"/>
  <c r="E21" i="19"/>
  <c r="E52" i="19" s="1"/>
  <c r="F82" i="12"/>
  <c r="G42" i="18"/>
  <c r="G95" i="18" s="1"/>
  <c r="G111" i="12"/>
  <c r="D30" i="19"/>
  <c r="D61" i="19" s="1"/>
  <c r="E91" i="12"/>
  <c r="E24" i="15"/>
  <c r="E48" i="15" s="1"/>
  <c r="F79" i="11"/>
  <c r="E23" i="19"/>
  <c r="E54" i="19" s="1"/>
  <c r="F84" i="12"/>
  <c r="E178" i="13"/>
  <c r="E37" i="13"/>
  <c r="E94" i="13" s="1"/>
  <c r="F48" i="12"/>
  <c r="G57" i="18"/>
  <c r="G110" i="18" s="1"/>
  <c r="G126" i="12"/>
  <c r="E14" i="19"/>
  <c r="F75" i="12"/>
  <c r="E39" i="13"/>
  <c r="E96" i="13" s="1"/>
  <c r="F50" i="12"/>
  <c r="G217" i="18"/>
  <c r="G150" i="18"/>
  <c r="G240" i="18"/>
  <c r="G176" i="18"/>
  <c r="G208" i="18"/>
  <c r="G141" i="18"/>
  <c r="H201" i="18"/>
  <c r="H134" i="18"/>
  <c r="G200" i="18"/>
  <c r="G133" i="18"/>
  <c r="G23" i="18"/>
  <c r="G76" i="18" s="1"/>
  <c r="G107" i="11"/>
  <c r="M49" i="4"/>
  <c r="E16" i="15"/>
  <c r="E40" i="15" s="1"/>
  <c r="F71" i="11"/>
  <c r="E29" i="15"/>
  <c r="E53" i="15" s="1"/>
  <c r="F84" i="11"/>
  <c r="F51" i="18"/>
  <c r="F104" i="18" s="1"/>
  <c r="G172" i="18" s="1"/>
  <c r="F120" i="12"/>
  <c r="E49" i="13"/>
  <c r="E106" i="13" s="1"/>
  <c r="F60" i="12"/>
  <c r="E118" i="18"/>
  <c r="E56" i="13"/>
  <c r="E113" i="13" s="1"/>
  <c r="F67" i="12"/>
  <c r="E37" i="19"/>
  <c r="E65" i="19" s="1"/>
  <c r="F98" i="12"/>
  <c r="F12" i="13"/>
  <c r="F69" i="13" s="1"/>
  <c r="G46" i="18"/>
  <c r="G99" i="18" s="1"/>
  <c r="G115" i="12"/>
  <c r="E48" i="13"/>
  <c r="E105" i="13" s="1"/>
  <c r="F59" i="12"/>
  <c r="G11" i="18"/>
  <c r="G64" i="18" s="1"/>
  <c r="G95" i="11"/>
  <c r="F18" i="19"/>
  <c r="F49" i="19" s="1"/>
  <c r="G79" i="12"/>
  <c r="D32" i="19"/>
  <c r="E93" i="12"/>
  <c r="D31" i="19"/>
  <c r="E92" i="12"/>
  <c r="E31" i="13"/>
  <c r="E88" i="13" s="1"/>
  <c r="E28" i="19"/>
  <c r="E59" i="19" s="1"/>
  <c r="F89" i="12"/>
  <c r="G43" i="18"/>
  <c r="G96" i="18" s="1"/>
  <c r="G112" i="12"/>
  <c r="E15" i="15"/>
  <c r="E39" i="15" s="1"/>
  <c r="F70" i="11"/>
  <c r="E254" i="18"/>
  <c r="I136" i="18"/>
  <c r="I203" i="18"/>
  <c r="F265" i="13"/>
  <c r="D152" i="13"/>
  <c r="F211" i="13" s="1"/>
  <c r="F240" i="13"/>
  <c r="D127" i="13"/>
  <c r="F185" i="13" s="1"/>
  <c r="M40" i="4"/>
  <c r="N37" i="4" s="1"/>
  <c r="E19" i="19"/>
  <c r="E50" i="19" s="1"/>
  <c r="F80" i="12"/>
  <c r="D33" i="19"/>
  <c r="E94" i="12"/>
  <c r="J45" i="16"/>
  <c r="J47" i="16" s="1"/>
  <c r="H20" i="7"/>
  <c r="K51" i="6"/>
  <c r="G224" i="18"/>
  <c r="G157" i="18"/>
  <c r="G277" i="13"/>
  <c r="E167" i="13"/>
  <c r="G226" i="13" s="1"/>
  <c r="G16" i="18"/>
  <c r="G69" i="18" s="1"/>
  <c r="G100" i="11"/>
  <c r="E25" i="19"/>
  <c r="E56" i="19" s="1"/>
  <c r="F86" i="12"/>
  <c r="E47" i="13"/>
  <c r="E104" i="13" s="1"/>
  <c r="F58" i="12"/>
  <c r="G223" i="18"/>
  <c r="G156" i="18"/>
  <c r="F263" i="13"/>
  <c r="D150" i="13"/>
  <c r="F209" i="13" s="1"/>
  <c r="G34" i="18"/>
  <c r="G87" i="18" s="1"/>
  <c r="G103" i="12"/>
  <c r="F14" i="15"/>
  <c r="F38" i="15" s="1"/>
  <c r="G69" i="11"/>
  <c r="E35" i="13"/>
  <c r="F46" i="12"/>
  <c r="E22" i="13"/>
  <c r="E79" i="13" s="1"/>
  <c r="E36" i="13"/>
  <c r="E93" i="13" s="1"/>
  <c r="F47" i="12"/>
  <c r="G10" i="5"/>
  <c r="C11" i="5" s="1"/>
  <c r="F67" i="4"/>
  <c r="G51" i="4"/>
  <c r="G230" i="18"/>
  <c r="G163" i="18"/>
  <c r="F53" i="18"/>
  <c r="F106" i="18" s="1"/>
  <c r="G174" i="18" s="1"/>
  <c r="F122" i="12"/>
  <c r="F259" i="13"/>
  <c r="D146" i="13"/>
  <c r="F205" i="13" s="1"/>
  <c r="G242" i="18"/>
  <c r="G178" i="18"/>
  <c r="D45" i="19"/>
  <c r="D39" i="19"/>
  <c r="F261" i="13"/>
  <c r="D148" i="13"/>
  <c r="F207" i="13" s="1"/>
  <c r="G29" i="13"/>
  <c r="G86" i="13" s="1"/>
  <c r="H29" i="13"/>
  <c r="H86" i="13" s="1"/>
  <c r="G48" i="18"/>
  <c r="G101" i="18" s="1"/>
  <c r="G117" i="12"/>
  <c r="E29" i="19"/>
  <c r="E60" i="19" s="1"/>
  <c r="F90" i="12"/>
  <c r="H28" i="18"/>
  <c r="H81" i="18" s="1"/>
  <c r="H112" i="11"/>
  <c r="I28" i="18" s="1"/>
  <c r="I81" i="18" s="1"/>
  <c r="F30" i="13"/>
  <c r="F87" i="13" s="1"/>
  <c r="G24" i="18"/>
  <c r="G77" i="18" s="1"/>
  <c r="G108" i="11"/>
  <c r="G211" i="18"/>
  <c r="G144" i="18"/>
  <c r="H38" i="18"/>
  <c r="H91" i="18" s="1"/>
  <c r="H107" i="12"/>
  <c r="I38" i="18" s="1"/>
  <c r="I91" i="18" s="1"/>
  <c r="E25" i="15"/>
  <c r="E49" i="15" s="1"/>
  <c r="F80" i="11"/>
  <c r="E45" i="13"/>
  <c r="E102" i="13" s="1"/>
  <c r="F56" i="12"/>
  <c r="D63" i="15"/>
  <c r="G19" i="13"/>
  <c r="G76" i="13" s="1"/>
  <c r="H19" i="13"/>
  <c r="H76" i="13" s="1"/>
  <c r="F271" i="13"/>
  <c r="D158" i="13"/>
  <c r="F217" i="13" s="1"/>
  <c r="F275" i="13"/>
  <c r="D165" i="13"/>
  <c r="F224" i="13" s="1"/>
  <c r="E121" i="13"/>
  <c r="G179" i="13" s="1"/>
  <c r="G234" i="13"/>
  <c r="E46" i="13"/>
  <c r="E103" i="13" s="1"/>
  <c r="F57" i="12"/>
  <c r="G234" i="18"/>
  <c r="G167" i="18"/>
  <c r="F270" i="13"/>
  <c r="D157" i="13"/>
  <c r="F216" i="13" s="1"/>
  <c r="G199" i="18"/>
  <c r="G132" i="18"/>
  <c r="F253" i="13"/>
  <c r="D140" i="13"/>
  <c r="F198" i="13" s="1"/>
  <c r="G231" i="18"/>
  <c r="G164" i="18"/>
  <c r="E51" i="13"/>
  <c r="E108" i="13" s="1"/>
  <c r="F62" i="12"/>
  <c r="E27" i="15"/>
  <c r="E51" i="15" s="1"/>
  <c r="F82" i="11"/>
  <c r="E17" i="19"/>
  <c r="E48" i="19" s="1"/>
  <c r="F78" i="12"/>
  <c r="E44" i="13"/>
  <c r="E101" i="13" s="1"/>
  <c r="F55" i="12"/>
  <c r="E154" i="19"/>
  <c r="E159" i="19" s="1"/>
  <c r="E168" i="19"/>
  <c r="E169" i="19"/>
  <c r="F50" i="18"/>
  <c r="F103" i="18" s="1"/>
  <c r="F119" i="12"/>
  <c r="E183" i="18"/>
  <c r="E246" i="18"/>
  <c r="G47" i="18"/>
  <c r="G100" i="18" s="1"/>
  <c r="G116" i="12"/>
  <c r="H179" i="10"/>
  <c r="H45" i="10"/>
  <c r="H149" i="10"/>
  <c r="H134" i="10"/>
  <c r="H164" i="10"/>
  <c r="H23" i="9"/>
  <c r="G204" i="18"/>
  <c r="G137" i="18"/>
  <c r="F269" i="13"/>
  <c r="D156" i="13"/>
  <c r="F215" i="13" s="1"/>
  <c r="E43" i="4"/>
  <c r="F40" i="13"/>
  <c r="F97" i="13" s="1"/>
  <c r="G51" i="12"/>
  <c r="G222" i="18"/>
  <c r="G155" i="18"/>
  <c r="E61" i="15"/>
  <c r="D96" i="10" l="1"/>
  <c r="C45" i="10"/>
  <c r="L65" i="4"/>
  <c r="L44" i="4"/>
  <c r="L45" i="4" s="1"/>
  <c r="D11" i="10"/>
  <c r="B96" i="4"/>
  <c r="C60" i="10"/>
  <c r="F85" i="15"/>
  <c r="F99" i="15"/>
  <c r="F98" i="15"/>
  <c r="G94" i="15"/>
  <c r="G93" i="15"/>
  <c r="E65" i="15"/>
  <c r="G86" i="15" s="1"/>
  <c r="E60" i="15"/>
  <c r="D96" i="15"/>
  <c r="F183" i="18"/>
  <c r="C12" i="15"/>
  <c r="G21" i="15"/>
  <c r="G45" i="15" s="1"/>
  <c r="H76" i="11"/>
  <c r="H21" i="15" s="1"/>
  <c r="H45" i="15" s="1"/>
  <c r="F184" i="18"/>
  <c r="F115" i="18"/>
  <c r="G183" i="18" s="1"/>
  <c r="H86" i="11"/>
  <c r="H31" i="15" s="1"/>
  <c r="H55" i="15" s="1"/>
  <c r="G31" i="15"/>
  <c r="G55" i="15" s="1"/>
  <c r="C10" i="13"/>
  <c r="E282" i="13" s="1"/>
  <c r="F188" i="18"/>
  <c r="B12" i="7"/>
  <c r="C144" i="10" s="1"/>
  <c r="E284" i="13"/>
  <c r="D32" i="15"/>
  <c r="D89" i="15"/>
  <c r="E37" i="6" s="1"/>
  <c r="D33" i="13"/>
  <c r="D65" i="13" s="1"/>
  <c r="F200" i="13" s="1"/>
  <c r="E285" i="13"/>
  <c r="F15" i="6"/>
  <c r="E260" i="18" s="1"/>
  <c r="H14" i="18"/>
  <c r="H67" i="18" s="1"/>
  <c r="H98" i="11"/>
  <c r="I14" i="18" s="1"/>
  <c r="I67" i="18" s="1"/>
  <c r="G103" i="11"/>
  <c r="G19" i="18"/>
  <c r="G72" i="18" s="1"/>
  <c r="G106" i="11"/>
  <c r="G22" i="18"/>
  <c r="G75" i="18" s="1"/>
  <c r="E23" i="15"/>
  <c r="E47" i="15" s="1"/>
  <c r="F78" i="11"/>
  <c r="H135" i="18"/>
  <c r="H202" i="18"/>
  <c r="E24" i="13"/>
  <c r="E81" i="13" s="1"/>
  <c r="E66" i="15"/>
  <c r="E125" i="13"/>
  <c r="G183" i="13" s="1"/>
  <c r="G238" i="13"/>
  <c r="F6" i="6"/>
  <c r="E259" i="18" s="1"/>
  <c r="H15" i="13"/>
  <c r="H72" i="13" s="1"/>
  <c r="G15" i="13"/>
  <c r="G72" i="13" s="1"/>
  <c r="F246" i="13"/>
  <c r="D133" i="13"/>
  <c r="F191" i="13" s="1"/>
  <c r="E21" i="13"/>
  <c r="E78" i="13" s="1"/>
  <c r="F18" i="15"/>
  <c r="F42" i="15" s="1"/>
  <c r="G73" i="11"/>
  <c r="F16" i="13"/>
  <c r="F73" i="13" s="1"/>
  <c r="F81" i="11"/>
  <c r="E26" i="15"/>
  <c r="E50" i="15" s="1"/>
  <c r="E191" i="18"/>
  <c r="F34" i="6" s="1"/>
  <c r="F124" i="13"/>
  <c r="H182" i="13" s="1"/>
  <c r="H237" i="13"/>
  <c r="G140" i="18"/>
  <c r="G207" i="18"/>
  <c r="F243" i="13"/>
  <c r="D130" i="13"/>
  <c r="F188" i="13" s="1"/>
  <c r="H72" i="11"/>
  <c r="H17" i="15" s="1"/>
  <c r="H41" i="15" s="1"/>
  <c r="G17" i="15"/>
  <c r="G41" i="15" s="1"/>
  <c r="G210" i="18"/>
  <c r="G143" i="18"/>
  <c r="E16" i="6"/>
  <c r="D290" i="13" s="1"/>
  <c r="D292" i="13" s="1"/>
  <c r="N58" i="4"/>
  <c r="O55" i="4" s="1"/>
  <c r="O56" i="4" s="1"/>
  <c r="E46" i="4"/>
  <c r="E65" i="4"/>
  <c r="D13" i="8" s="1"/>
  <c r="D15" i="8" s="1"/>
  <c r="F114" i="18"/>
  <c r="G266" i="13"/>
  <c r="E153" i="13"/>
  <c r="G212" i="13" s="1"/>
  <c r="G268" i="13"/>
  <c r="E155" i="13"/>
  <c r="G214" i="13" s="1"/>
  <c r="H30" i="13"/>
  <c r="H87" i="13" s="1"/>
  <c r="G30" i="13"/>
  <c r="G87" i="13" s="1"/>
  <c r="H51" i="12"/>
  <c r="H40" i="13" s="1"/>
  <c r="H97" i="13" s="1"/>
  <c r="G40" i="13"/>
  <c r="G97" i="13" s="1"/>
  <c r="H47" i="18"/>
  <c r="H100" i="18" s="1"/>
  <c r="H116" i="12"/>
  <c r="I47" i="18" s="1"/>
  <c r="I100" i="18" s="1"/>
  <c r="G50" i="18"/>
  <c r="G103" i="18" s="1"/>
  <c r="G119" i="12"/>
  <c r="F17" i="19"/>
  <c r="F48" i="19" s="1"/>
  <c r="G78" i="12"/>
  <c r="F51" i="13"/>
  <c r="F108" i="13" s="1"/>
  <c r="G62" i="12"/>
  <c r="H252" i="13"/>
  <c r="F139" i="13"/>
  <c r="H197" i="13" s="1"/>
  <c r="I251" i="13"/>
  <c r="G138" i="13"/>
  <c r="I196" i="13" s="1"/>
  <c r="D11" i="5"/>
  <c r="G258" i="13"/>
  <c r="E145" i="13"/>
  <c r="G204" i="13" s="1"/>
  <c r="E92" i="13"/>
  <c r="H34" i="18"/>
  <c r="H87" i="18" s="1"/>
  <c r="H103" i="12"/>
  <c r="I34" i="18" s="1"/>
  <c r="I87" i="18" s="1"/>
  <c r="G269" i="13"/>
  <c r="E156" i="13"/>
  <c r="G215" i="13" s="1"/>
  <c r="H204" i="18"/>
  <c r="H137" i="18"/>
  <c r="H43" i="18"/>
  <c r="H96" i="18" s="1"/>
  <c r="H112" i="12"/>
  <c r="I43" i="18" s="1"/>
  <c r="I96" i="18" s="1"/>
  <c r="F31" i="13"/>
  <c r="F88" i="13" s="1"/>
  <c r="E32" i="19"/>
  <c r="F93" i="12"/>
  <c r="H11" i="18"/>
  <c r="H64" i="18" s="1"/>
  <c r="H95" i="11"/>
  <c r="I11" i="18" s="1"/>
  <c r="I64" i="18" s="1"/>
  <c r="H46" i="18"/>
  <c r="H99" i="18" s="1"/>
  <c r="H115" i="12"/>
  <c r="I46" i="18" s="1"/>
  <c r="I99" i="18" s="1"/>
  <c r="H234" i="13"/>
  <c r="F121" i="13"/>
  <c r="H179" i="13" s="1"/>
  <c r="G275" i="13"/>
  <c r="E165" i="13"/>
  <c r="G224" i="13" s="1"/>
  <c r="G51" i="18"/>
  <c r="G104" i="18" s="1"/>
  <c r="H172" i="18" s="1"/>
  <c r="G120" i="12"/>
  <c r="E63" i="15"/>
  <c r="M50" i="4"/>
  <c r="E45" i="19"/>
  <c r="F23" i="19"/>
  <c r="F54" i="19" s="1"/>
  <c r="G84" i="12"/>
  <c r="F41" i="13"/>
  <c r="F98" i="13" s="1"/>
  <c r="G52" i="12"/>
  <c r="F116" i="18"/>
  <c r="E120" i="13"/>
  <c r="G233" i="13"/>
  <c r="H277" i="13"/>
  <c r="F167" i="13"/>
  <c r="H226" i="13" s="1"/>
  <c r="H157" i="18"/>
  <c r="H224" i="18"/>
  <c r="E127" i="13"/>
  <c r="G185" i="13" s="1"/>
  <c r="G240" i="13"/>
  <c r="G265" i="13"/>
  <c r="E152" i="13"/>
  <c r="G211" i="13" s="1"/>
  <c r="N64" i="4"/>
  <c r="O61" i="4" s="1"/>
  <c r="F178" i="13"/>
  <c r="F274" i="13"/>
  <c r="D161" i="13"/>
  <c r="F220" i="13" s="1"/>
  <c r="H12" i="18"/>
  <c r="H65" i="18" s="1"/>
  <c r="H96" i="11"/>
  <c r="I12" i="18" s="1"/>
  <c r="I65" i="18" s="1"/>
  <c r="H20" i="18"/>
  <c r="H73" i="18" s="1"/>
  <c r="H104" i="11"/>
  <c r="I20" i="18" s="1"/>
  <c r="I73" i="18" s="1"/>
  <c r="H55" i="18"/>
  <c r="H108" i="18" s="1"/>
  <c r="H124" i="12"/>
  <c r="I55" i="18" s="1"/>
  <c r="I108" i="18" s="1"/>
  <c r="C160" i="10"/>
  <c r="C130" i="10"/>
  <c r="C37" i="10"/>
  <c r="C145" i="10"/>
  <c r="C175" i="10"/>
  <c r="F34" i="19"/>
  <c r="F62" i="19" s="1"/>
  <c r="G95" i="12"/>
  <c r="F24" i="19"/>
  <c r="F55" i="19" s="1"/>
  <c r="G85" i="12"/>
  <c r="H165" i="18"/>
  <c r="H232" i="18"/>
  <c r="H158" i="18"/>
  <c r="H225" i="18"/>
  <c r="F118" i="18"/>
  <c r="H170" i="18"/>
  <c r="H237" i="18"/>
  <c r="F68" i="13"/>
  <c r="F52" i="4"/>
  <c r="H161" i="18"/>
  <c r="H228" i="18"/>
  <c r="F37" i="15"/>
  <c r="J239" i="13"/>
  <c r="H126" i="13"/>
  <c r="F14" i="13"/>
  <c r="F71" i="13" s="1"/>
  <c r="F30" i="15"/>
  <c r="F54" i="15" s="1"/>
  <c r="G85" i="11"/>
  <c r="H39" i="18"/>
  <c r="H92" i="18" s="1"/>
  <c r="H108" i="12"/>
  <c r="I39" i="18" s="1"/>
  <c r="I92" i="18" s="1"/>
  <c r="H45" i="18"/>
  <c r="H98" i="18" s="1"/>
  <c r="H114" i="12"/>
  <c r="I45" i="18" s="1"/>
  <c r="I98" i="18" s="1"/>
  <c r="I148" i="18"/>
  <c r="I215" i="18"/>
  <c r="E129" i="13"/>
  <c r="G187" i="13" s="1"/>
  <c r="G242" i="13"/>
  <c r="G276" i="13"/>
  <c r="E166" i="13"/>
  <c r="G225" i="13" s="1"/>
  <c r="H206" i="18"/>
  <c r="H139" i="18"/>
  <c r="H41" i="18"/>
  <c r="H94" i="18" s="1"/>
  <c r="H110" i="12"/>
  <c r="I41" i="18" s="1"/>
  <c r="I94" i="18" s="1"/>
  <c r="F59" i="13"/>
  <c r="F116" i="13" s="1"/>
  <c r="G70" i="12"/>
  <c r="I158" i="10"/>
  <c r="I173" i="10"/>
  <c r="I143" i="10"/>
  <c r="I128" i="10"/>
  <c r="I35" i="10"/>
  <c r="D274" i="18"/>
  <c r="D276" i="18" s="1"/>
  <c r="B22" i="7"/>
  <c r="E47" i="6"/>
  <c r="H168" i="18"/>
  <c r="H235" i="18"/>
  <c r="G238" i="18"/>
  <c r="G171" i="18"/>
  <c r="C13" i="7"/>
  <c r="F39" i="6"/>
  <c r="G273" i="13"/>
  <c r="E160" i="13"/>
  <c r="G219" i="13" s="1"/>
  <c r="E97" i="15"/>
  <c r="J241" i="13"/>
  <c r="H128" i="13"/>
  <c r="F45" i="13"/>
  <c r="F102" i="13" s="1"/>
  <c r="G56" i="12"/>
  <c r="J226" i="18"/>
  <c r="J159" i="18"/>
  <c r="H24" i="18"/>
  <c r="H77" i="18" s="1"/>
  <c r="H108" i="11"/>
  <c r="I24" i="18" s="1"/>
  <c r="I77" i="18" s="1"/>
  <c r="J216" i="18"/>
  <c r="J149" i="18"/>
  <c r="H48" i="18"/>
  <c r="H101" i="18" s="1"/>
  <c r="H117" i="12"/>
  <c r="I48" i="18" s="1"/>
  <c r="I101" i="18" s="1"/>
  <c r="F22" i="13"/>
  <c r="F79" i="13" s="1"/>
  <c r="H155" i="18"/>
  <c r="H222" i="18"/>
  <c r="F25" i="19"/>
  <c r="F56" i="19" s="1"/>
  <c r="G86" i="12"/>
  <c r="I149" i="10"/>
  <c r="I134" i="10"/>
  <c r="I179" i="10"/>
  <c r="I164" i="10"/>
  <c r="I45" i="10"/>
  <c r="I23" i="9"/>
  <c r="E33" i="19"/>
  <c r="F94" i="12"/>
  <c r="N38" i="4"/>
  <c r="N39" i="4" s="1"/>
  <c r="H164" i="18"/>
  <c r="H231" i="18"/>
  <c r="E140" i="13"/>
  <c r="G198" i="13" s="1"/>
  <c r="G253" i="13"/>
  <c r="H199" i="18"/>
  <c r="H132" i="18"/>
  <c r="H167" i="18"/>
  <c r="H234" i="18"/>
  <c r="F37" i="19"/>
  <c r="F65" i="19" s="1"/>
  <c r="G98" i="12"/>
  <c r="F187" i="18"/>
  <c r="F250" i="18"/>
  <c r="F39" i="13"/>
  <c r="F96" i="13" s="1"/>
  <c r="G50" i="12"/>
  <c r="H57" i="18"/>
  <c r="H110" i="18" s="1"/>
  <c r="H126" i="12"/>
  <c r="I57" i="18" s="1"/>
  <c r="I110" i="18" s="1"/>
  <c r="F37" i="13"/>
  <c r="F94" i="13" s="1"/>
  <c r="G48" i="12"/>
  <c r="H42" i="18"/>
  <c r="H95" i="18" s="1"/>
  <c r="H111" i="12"/>
  <c r="I42" i="18" s="1"/>
  <c r="I95" i="18" s="1"/>
  <c r="F154" i="19"/>
  <c r="F159" i="19" s="1"/>
  <c r="F169" i="19"/>
  <c r="F168" i="19"/>
  <c r="G36" i="19"/>
  <c r="G64" i="19" s="1"/>
  <c r="H97" i="12"/>
  <c r="H36" i="19" s="1"/>
  <c r="H64" i="19" s="1"/>
  <c r="G263" i="13"/>
  <c r="E150" i="13"/>
  <c r="G209" i="13" s="1"/>
  <c r="G52" i="18"/>
  <c r="G105" i="18" s="1"/>
  <c r="H173" i="18" s="1"/>
  <c r="G121" i="12"/>
  <c r="F22" i="15"/>
  <c r="F46" i="15" s="1"/>
  <c r="G77" i="11"/>
  <c r="F26" i="19"/>
  <c r="F57" i="19" s="1"/>
  <c r="G87" i="12"/>
  <c r="H200" i="18"/>
  <c r="H133" i="18"/>
  <c r="H208" i="18"/>
  <c r="H141" i="18"/>
  <c r="H176" i="18"/>
  <c r="H240" i="18"/>
  <c r="H29" i="18"/>
  <c r="H82" i="18" s="1"/>
  <c r="H113" i="11"/>
  <c r="I29" i="18" s="1"/>
  <c r="I82" i="18" s="1"/>
  <c r="G164" i="19"/>
  <c r="E126" i="19"/>
  <c r="E143" i="19" s="1"/>
  <c r="G156" i="19" s="1"/>
  <c r="E124" i="19"/>
  <c r="E141" i="19" s="1"/>
  <c r="G163" i="19"/>
  <c r="G167" i="19"/>
  <c r="E125" i="19"/>
  <c r="E142" i="19" s="1"/>
  <c r="G155" i="19" s="1"/>
  <c r="F28" i="13"/>
  <c r="F85" i="13" s="1"/>
  <c r="F23" i="13"/>
  <c r="F80" i="13" s="1"/>
  <c r="H21" i="18"/>
  <c r="H74" i="18" s="1"/>
  <c r="H105" i="11"/>
  <c r="I21" i="18" s="1"/>
  <c r="I74" i="18" s="1"/>
  <c r="H25" i="18"/>
  <c r="H78" i="18" s="1"/>
  <c r="H109" i="11"/>
  <c r="I25" i="18" s="1"/>
  <c r="I78" i="18" s="1"/>
  <c r="F13" i="13"/>
  <c r="F70" i="13" s="1"/>
  <c r="F28" i="15"/>
  <c r="F52" i="15" s="1"/>
  <c r="G83" i="11"/>
  <c r="F26" i="13"/>
  <c r="F83" i="13" s="1"/>
  <c r="F50" i="13"/>
  <c r="F107" i="13" s="1"/>
  <c r="G61" i="12"/>
  <c r="I239" i="13"/>
  <c r="G126" i="13"/>
  <c r="I184" i="13" s="1"/>
  <c r="E123" i="13"/>
  <c r="G181" i="13" s="1"/>
  <c r="G236" i="13"/>
  <c r="H160" i="18"/>
  <c r="H227" i="18"/>
  <c r="H166" i="18"/>
  <c r="H233" i="18"/>
  <c r="H54" i="18"/>
  <c r="H107" i="18" s="1"/>
  <c r="H123" i="12"/>
  <c r="I54" i="18" s="1"/>
  <c r="I107" i="18" s="1"/>
  <c r="F27" i="19"/>
  <c r="F58" i="19" s="1"/>
  <c r="G88" i="12"/>
  <c r="F20" i="15"/>
  <c r="F44" i="15" s="1"/>
  <c r="G75" i="11"/>
  <c r="H162" i="18"/>
  <c r="H229" i="18"/>
  <c r="G278" i="13"/>
  <c r="E168" i="13"/>
  <c r="G227" i="13" s="1"/>
  <c r="D144" i="13"/>
  <c r="F203" i="13" s="1"/>
  <c r="F257" i="13"/>
  <c r="F44" i="13"/>
  <c r="F101" i="13" s="1"/>
  <c r="G55" i="12"/>
  <c r="F27" i="15"/>
  <c r="F51" i="15" s="1"/>
  <c r="G82" i="11"/>
  <c r="F46" i="13"/>
  <c r="F103" i="13" s="1"/>
  <c r="G57" i="12"/>
  <c r="I241" i="13"/>
  <c r="G128" i="13"/>
  <c r="I186" i="13" s="1"/>
  <c r="G267" i="13"/>
  <c r="E154" i="13"/>
  <c r="G213" i="13" s="1"/>
  <c r="I226" i="18"/>
  <c r="I159" i="18"/>
  <c r="H212" i="18"/>
  <c r="H145" i="18"/>
  <c r="I149" i="18"/>
  <c r="I216" i="18"/>
  <c r="H169" i="18"/>
  <c r="H236" i="18"/>
  <c r="H51" i="4"/>
  <c r="G67" i="4"/>
  <c r="E131" i="13"/>
  <c r="G189" i="13" s="1"/>
  <c r="G244" i="13"/>
  <c r="G14" i="15"/>
  <c r="G38" i="15" s="1"/>
  <c r="H69" i="11"/>
  <c r="H14" i="15" s="1"/>
  <c r="H38" i="15" s="1"/>
  <c r="F119" i="18"/>
  <c r="F15" i="15"/>
  <c r="F39" i="15" s="1"/>
  <c r="G70" i="11"/>
  <c r="F28" i="19"/>
  <c r="F59" i="19" s="1"/>
  <c r="G89" i="12"/>
  <c r="E31" i="19"/>
  <c r="F92" i="12"/>
  <c r="G18" i="19"/>
  <c r="G49" i="19" s="1"/>
  <c r="H79" i="12"/>
  <c r="H18" i="19" s="1"/>
  <c r="H49" i="19" s="1"/>
  <c r="F48" i="13"/>
  <c r="F105" i="13" s="1"/>
  <c r="G59" i="12"/>
  <c r="F49" i="13"/>
  <c r="F106" i="13" s="1"/>
  <c r="G60" i="12"/>
  <c r="F29" i="15"/>
  <c r="F53" i="15" s="1"/>
  <c r="G84" i="11"/>
  <c r="H23" i="18"/>
  <c r="H76" i="18" s="1"/>
  <c r="H107" i="11"/>
  <c r="I23" i="18" s="1"/>
  <c r="I76" i="18" s="1"/>
  <c r="G261" i="13"/>
  <c r="E148" i="13"/>
  <c r="G207" i="13" s="1"/>
  <c r="H178" i="18"/>
  <c r="H242" i="18"/>
  <c r="G259" i="13"/>
  <c r="E146" i="13"/>
  <c r="G205" i="13" s="1"/>
  <c r="F24" i="15"/>
  <c r="F48" i="15" s="1"/>
  <c r="G79" i="11"/>
  <c r="H163" i="18"/>
  <c r="H230" i="18"/>
  <c r="H35" i="18"/>
  <c r="H88" i="18" s="1"/>
  <c r="H104" i="12"/>
  <c r="I35" i="18" s="1"/>
  <c r="I88" i="18" s="1"/>
  <c r="D165" i="19"/>
  <c r="D166" i="19"/>
  <c r="J201" i="18"/>
  <c r="J134" i="18"/>
  <c r="F35" i="19"/>
  <c r="F63" i="19" s="1"/>
  <c r="G96" i="12"/>
  <c r="H217" i="18"/>
  <c r="H150" i="18"/>
  <c r="H33" i="18"/>
  <c r="H86" i="18" s="1"/>
  <c r="H102" i="12"/>
  <c r="I33" i="18" s="1"/>
  <c r="I86" i="18" s="1"/>
  <c r="E137" i="13"/>
  <c r="G195" i="13" s="1"/>
  <c r="G250" i="13"/>
  <c r="E132" i="13"/>
  <c r="G190" i="13" s="1"/>
  <c r="G245" i="13"/>
  <c r="H209" i="18"/>
  <c r="H142" i="18"/>
  <c r="H213" i="18"/>
  <c r="H146" i="18"/>
  <c r="E122" i="13"/>
  <c r="G180" i="13" s="1"/>
  <c r="G235" i="13"/>
  <c r="E135" i="13"/>
  <c r="G193" i="13" s="1"/>
  <c r="G248" i="13"/>
  <c r="G272" i="13"/>
  <c r="E159" i="13"/>
  <c r="G218" i="13" s="1"/>
  <c r="F38" i="13"/>
  <c r="F95" i="13" s="1"/>
  <c r="G49" i="12"/>
  <c r="J241" i="18"/>
  <c r="J177" i="18"/>
  <c r="F25" i="13"/>
  <c r="F82" i="13" s="1"/>
  <c r="F27" i="13"/>
  <c r="F84" i="13" s="1"/>
  <c r="H175" i="18"/>
  <c r="H239" i="18"/>
  <c r="J197" i="18"/>
  <c r="J130" i="18"/>
  <c r="F42" i="13"/>
  <c r="F99" i="13" s="1"/>
  <c r="G53" i="12"/>
  <c r="D61" i="13"/>
  <c r="C129" i="10"/>
  <c r="C36" i="10"/>
  <c r="H262" i="13"/>
  <c r="F149" i="13"/>
  <c r="H208" i="13" s="1"/>
  <c r="F25" i="15"/>
  <c r="F49" i="15" s="1"/>
  <c r="G80" i="11"/>
  <c r="F29" i="19"/>
  <c r="F60" i="19" s="1"/>
  <c r="G90" i="12"/>
  <c r="J251" i="13"/>
  <c r="H138" i="13"/>
  <c r="D42" i="19"/>
  <c r="D12" i="19"/>
  <c r="G53" i="18"/>
  <c r="G106" i="18" s="1"/>
  <c r="H174" i="18" s="1"/>
  <c r="G122" i="12"/>
  <c r="F36" i="13"/>
  <c r="F93" i="13" s="1"/>
  <c r="G47" i="12"/>
  <c r="F35" i="13"/>
  <c r="G46" i="12"/>
  <c r="F61" i="15"/>
  <c r="F47" i="13"/>
  <c r="F104" i="13" s="1"/>
  <c r="G58" i="12"/>
  <c r="H16" i="18"/>
  <c r="H69" i="18" s="1"/>
  <c r="H100" i="11"/>
  <c r="I16" i="18" s="1"/>
  <c r="I69" i="18" s="1"/>
  <c r="F19" i="19"/>
  <c r="F50" i="19" s="1"/>
  <c r="G80" i="12"/>
  <c r="G270" i="13"/>
  <c r="E157" i="13"/>
  <c r="G216" i="13" s="1"/>
  <c r="H12" i="13"/>
  <c r="H69" i="13" s="1"/>
  <c r="G12" i="13"/>
  <c r="G69" i="13" s="1"/>
  <c r="F56" i="13"/>
  <c r="F113" i="13" s="1"/>
  <c r="G67" i="12"/>
  <c r="G271" i="13"/>
  <c r="E158" i="13"/>
  <c r="G217" i="13" s="1"/>
  <c r="F16" i="15"/>
  <c r="F40" i="15" s="1"/>
  <c r="G71" i="11"/>
  <c r="F254" i="18"/>
  <c r="H211" i="18"/>
  <c r="H144" i="18"/>
  <c r="F14" i="19"/>
  <c r="G75" i="12"/>
  <c r="E229" i="13"/>
  <c r="E30" i="19"/>
  <c r="E61" i="19" s="1"/>
  <c r="F91" i="12"/>
  <c r="F21" i="19"/>
  <c r="F52" i="19" s="1"/>
  <c r="G82" i="12"/>
  <c r="E165" i="19"/>
  <c r="E166" i="19"/>
  <c r="F245" i="18"/>
  <c r="F182" i="18"/>
  <c r="H156" i="18"/>
  <c r="H223" i="18"/>
  <c r="G58" i="13"/>
  <c r="G115" i="13" s="1"/>
  <c r="H69" i="12"/>
  <c r="H58" i="13" s="1"/>
  <c r="H115" i="13" s="1"/>
  <c r="H36" i="18"/>
  <c r="H89" i="18" s="1"/>
  <c r="H105" i="12"/>
  <c r="I36" i="18" s="1"/>
  <c r="I89" i="18" s="1"/>
  <c r="F18" i="13"/>
  <c r="F75" i="13" s="1"/>
  <c r="F43" i="13"/>
  <c r="F100" i="13" s="1"/>
  <c r="G54" i="12"/>
  <c r="E52" i="13"/>
  <c r="E109" i="13" s="1"/>
  <c r="F63" i="12"/>
  <c r="F16" i="19"/>
  <c r="F47" i="19" s="1"/>
  <c r="G77" i="12"/>
  <c r="F253" i="18"/>
  <c r="I134" i="18"/>
  <c r="I201" i="18"/>
  <c r="H154" i="18"/>
  <c r="H221" i="18"/>
  <c r="H44" i="18"/>
  <c r="H97" i="18" s="1"/>
  <c r="H113" i="12"/>
  <c r="I44" i="18" s="1"/>
  <c r="I97" i="18" s="1"/>
  <c r="H37" i="18"/>
  <c r="H90" i="18" s="1"/>
  <c r="H106" i="12"/>
  <c r="I37" i="18" s="1"/>
  <c r="I90" i="18" s="1"/>
  <c r="H49" i="18"/>
  <c r="H102" i="18" s="1"/>
  <c r="H118" i="12"/>
  <c r="I49" i="18" s="1"/>
  <c r="I102" i="18" s="1"/>
  <c r="G11" i="13"/>
  <c r="H11" i="13"/>
  <c r="F20" i="19"/>
  <c r="F51" i="19" s="1"/>
  <c r="G81" i="12"/>
  <c r="F15" i="19"/>
  <c r="F46" i="19" s="1"/>
  <c r="G76" i="12"/>
  <c r="B8" i="7"/>
  <c r="E36" i="6"/>
  <c r="H40" i="18"/>
  <c r="H93" i="18" s="1"/>
  <c r="H109" i="12"/>
  <c r="I40" i="18" s="1"/>
  <c r="I93" i="18" s="1"/>
  <c r="G13" i="15"/>
  <c r="H68" i="11"/>
  <c r="H13" i="15" s="1"/>
  <c r="F22" i="19"/>
  <c r="F53" i="19" s="1"/>
  <c r="G83" i="12"/>
  <c r="G260" i="13"/>
  <c r="E147" i="13"/>
  <c r="G206" i="13" s="1"/>
  <c r="I177" i="18"/>
  <c r="I241" i="18"/>
  <c r="E134" i="13"/>
  <c r="G192" i="13" s="1"/>
  <c r="G247" i="13"/>
  <c r="E136" i="13"/>
  <c r="G194" i="13" s="1"/>
  <c r="G249" i="13"/>
  <c r="J215" i="18"/>
  <c r="J148" i="18"/>
  <c r="F20" i="13"/>
  <c r="F77" i="13" s="1"/>
  <c r="F57" i="13"/>
  <c r="F114" i="13" s="1"/>
  <c r="G68" i="12"/>
  <c r="H18" i="18"/>
  <c r="H71" i="18" s="1"/>
  <c r="H102" i="11"/>
  <c r="I18" i="18" s="1"/>
  <c r="I71" i="18" s="1"/>
  <c r="I130" i="18"/>
  <c r="I197" i="18"/>
  <c r="G264" i="13"/>
  <c r="E151" i="13"/>
  <c r="G210" i="13" s="1"/>
  <c r="L66" i="4" l="1"/>
  <c r="C97" i="4" s="1"/>
  <c r="L46" i="4"/>
  <c r="L67" i="4"/>
  <c r="G85" i="15"/>
  <c r="G99" i="15"/>
  <c r="G98" i="15"/>
  <c r="M51" i="4"/>
  <c r="H94" i="15"/>
  <c r="H93" i="15"/>
  <c r="E96" i="15"/>
  <c r="E95" i="15"/>
  <c r="E17" i="6"/>
  <c r="D175" i="19" s="1"/>
  <c r="D177" i="19" s="1"/>
  <c r="F60" i="15"/>
  <c r="F65" i="15"/>
  <c r="H86" i="15" s="1"/>
  <c r="G246" i="18"/>
  <c r="D12" i="15"/>
  <c r="F95" i="15" s="1"/>
  <c r="E89" i="15"/>
  <c r="C9" i="7" s="1"/>
  <c r="C174" i="10"/>
  <c r="C159" i="10"/>
  <c r="G114" i="18"/>
  <c r="H182" i="18" s="1"/>
  <c r="E283" i="13"/>
  <c r="F16" i="6" s="1"/>
  <c r="B9" i="7"/>
  <c r="C141" i="10" s="1"/>
  <c r="D10" i="13"/>
  <c r="F282" i="13" s="1"/>
  <c r="D35" i="15"/>
  <c r="F97" i="15" s="1"/>
  <c r="C12" i="7"/>
  <c r="D129" i="10" s="1"/>
  <c r="E41" i="6"/>
  <c r="F285" i="13"/>
  <c r="J196" i="13"/>
  <c r="G6" i="6"/>
  <c r="F259" i="18" s="1"/>
  <c r="E32" i="15"/>
  <c r="E262" i="18"/>
  <c r="E274" i="18" s="1"/>
  <c r="E276" i="18" s="1"/>
  <c r="G15" i="6"/>
  <c r="H6" i="6" s="1"/>
  <c r="H73" i="11"/>
  <c r="H18" i="15" s="1"/>
  <c r="H42" i="15" s="1"/>
  <c r="G18" i="15"/>
  <c r="G42" i="15" s="1"/>
  <c r="E133" i="13"/>
  <c r="G191" i="13" s="1"/>
  <c r="G246" i="13"/>
  <c r="F23" i="15"/>
  <c r="F47" i="15" s="1"/>
  <c r="G78" i="11"/>
  <c r="H207" i="18"/>
  <c r="H140" i="18"/>
  <c r="F191" i="18"/>
  <c r="G34" i="6" s="1"/>
  <c r="F284" i="13"/>
  <c r="F26" i="15"/>
  <c r="F50" i="15" s="1"/>
  <c r="G81" i="11"/>
  <c r="F66" i="15"/>
  <c r="F24" i="13"/>
  <c r="F81" i="13" s="1"/>
  <c r="H19" i="18"/>
  <c r="H72" i="18" s="1"/>
  <c r="H103" i="11"/>
  <c r="I19" i="18" s="1"/>
  <c r="I72" i="18" s="1"/>
  <c r="H238" i="13"/>
  <c r="F125" i="13"/>
  <c r="H183" i="13" s="1"/>
  <c r="F21" i="13"/>
  <c r="F78" i="13" s="1"/>
  <c r="G124" i="13"/>
  <c r="I182" i="13" s="1"/>
  <c r="I237" i="13"/>
  <c r="H143" i="18"/>
  <c r="H210" i="18"/>
  <c r="J135" i="18"/>
  <c r="J202" i="18"/>
  <c r="E33" i="13"/>
  <c r="E65" i="13" s="1"/>
  <c r="G200" i="13" s="1"/>
  <c r="G253" i="18"/>
  <c r="G16" i="13"/>
  <c r="G73" i="13" s="1"/>
  <c r="H16" i="13"/>
  <c r="H73" i="13" s="1"/>
  <c r="G243" i="13"/>
  <c r="E130" i="13"/>
  <c r="G188" i="13" s="1"/>
  <c r="H124" i="13"/>
  <c r="J182" i="13" s="1"/>
  <c r="J237" i="13"/>
  <c r="H22" i="18"/>
  <c r="H75" i="18" s="1"/>
  <c r="H106" i="11"/>
  <c r="I22" i="18" s="1"/>
  <c r="I75" i="18" s="1"/>
  <c r="I202" i="18"/>
  <c r="I135" i="18"/>
  <c r="F7" i="6"/>
  <c r="E289" i="13" s="1"/>
  <c r="F18" i="6"/>
  <c r="G9" i="6" s="1"/>
  <c r="E18" i="6"/>
  <c r="F9" i="6" s="1"/>
  <c r="O57" i="4"/>
  <c r="O58" i="4"/>
  <c r="P55" i="4" s="1"/>
  <c r="P56" i="4" s="1"/>
  <c r="P58" i="4" s="1"/>
  <c r="Q55" i="4" s="1"/>
  <c r="M52" i="4"/>
  <c r="N49" i="4" s="1"/>
  <c r="N40" i="4"/>
  <c r="O37" i="4" s="1"/>
  <c r="O38" i="4" s="1"/>
  <c r="O39" i="4" s="1"/>
  <c r="J206" i="18"/>
  <c r="J139" i="18"/>
  <c r="H20" i="13"/>
  <c r="H77" i="13" s="1"/>
  <c r="G20" i="13"/>
  <c r="G77" i="13" s="1"/>
  <c r="H37" i="15"/>
  <c r="I237" i="18"/>
  <c r="I170" i="18"/>
  <c r="I232" i="18"/>
  <c r="I165" i="18"/>
  <c r="H240" i="13"/>
  <c r="F127" i="13"/>
  <c r="H185" i="13" s="1"/>
  <c r="I277" i="13"/>
  <c r="G167" i="13"/>
  <c r="I226" i="13" s="1"/>
  <c r="G21" i="19"/>
  <c r="G52" i="19" s="1"/>
  <c r="H82" i="12"/>
  <c r="H21" i="19" s="1"/>
  <c r="H52" i="19" s="1"/>
  <c r="C8" i="7"/>
  <c r="F36" i="6"/>
  <c r="F63" i="15"/>
  <c r="H275" i="13"/>
  <c r="F165" i="13"/>
  <c r="H224" i="13" s="1"/>
  <c r="I204" i="18"/>
  <c r="I137" i="18"/>
  <c r="H47" i="12"/>
  <c r="H36" i="13" s="1"/>
  <c r="H93" i="13" s="1"/>
  <c r="G36" i="13"/>
  <c r="G93" i="13" s="1"/>
  <c r="F165" i="19"/>
  <c r="F166" i="19"/>
  <c r="G29" i="19"/>
  <c r="G60" i="19" s="1"/>
  <c r="H90" i="12"/>
  <c r="H29" i="19" s="1"/>
  <c r="H60" i="19" s="1"/>
  <c r="G27" i="13"/>
  <c r="G84" i="13" s="1"/>
  <c r="H27" i="13"/>
  <c r="H84" i="13" s="1"/>
  <c r="J221" i="18"/>
  <c r="J154" i="18"/>
  <c r="I144" i="18"/>
  <c r="I211" i="18"/>
  <c r="H60" i="12"/>
  <c r="H49" i="13" s="1"/>
  <c r="H106" i="13" s="1"/>
  <c r="G49" i="13"/>
  <c r="G106" i="13" s="1"/>
  <c r="G28" i="19"/>
  <c r="G59" i="19" s="1"/>
  <c r="H89" i="12"/>
  <c r="H28" i="19" s="1"/>
  <c r="H59" i="19" s="1"/>
  <c r="G188" i="18"/>
  <c r="G251" i="18"/>
  <c r="H272" i="13"/>
  <c r="F159" i="13"/>
  <c r="H218" i="13" s="1"/>
  <c r="G28" i="15"/>
  <c r="G52" i="15" s="1"/>
  <c r="H83" i="11"/>
  <c r="H28" i="15" s="1"/>
  <c r="H52" i="15" s="1"/>
  <c r="J213" i="18"/>
  <c r="J146" i="18"/>
  <c r="G23" i="13"/>
  <c r="G80" i="13" s="1"/>
  <c r="H23" i="13"/>
  <c r="H80" i="13" s="1"/>
  <c r="G118" i="18"/>
  <c r="J242" i="18"/>
  <c r="J178" i="18"/>
  <c r="F33" i="19"/>
  <c r="G94" i="12"/>
  <c r="G33" i="19" s="1"/>
  <c r="G25" i="19"/>
  <c r="G56" i="19" s="1"/>
  <c r="H86" i="12"/>
  <c r="H25" i="19" s="1"/>
  <c r="H56" i="19" s="1"/>
  <c r="H22" i="13"/>
  <c r="H79" i="13" s="1"/>
  <c r="G22" i="13"/>
  <c r="G79" i="13" s="1"/>
  <c r="J229" i="18"/>
  <c r="J162" i="18"/>
  <c r="J227" i="18"/>
  <c r="J160" i="18"/>
  <c r="H14" i="13"/>
  <c r="H71" i="13" s="1"/>
  <c r="G14" i="13"/>
  <c r="G71" i="13" s="1"/>
  <c r="G187" i="18"/>
  <c r="G250" i="18"/>
  <c r="F124" i="19"/>
  <c r="F141" i="19" s="1"/>
  <c r="H163" i="19"/>
  <c r="F125" i="19"/>
  <c r="F142" i="19" s="1"/>
  <c r="H155" i="19" s="1"/>
  <c r="H167" i="19"/>
  <c r="F126" i="19"/>
  <c r="F143" i="19" s="1"/>
  <c r="H156" i="19" s="1"/>
  <c r="H164" i="19"/>
  <c r="J208" i="18"/>
  <c r="J141" i="18"/>
  <c r="H52" i="12"/>
  <c r="H41" i="13" s="1"/>
  <c r="H98" i="13" s="1"/>
  <c r="G41" i="13"/>
  <c r="G98" i="13" s="1"/>
  <c r="G23" i="19"/>
  <c r="G54" i="19" s="1"/>
  <c r="H84" i="12"/>
  <c r="H23" i="19" s="1"/>
  <c r="H54" i="19" s="1"/>
  <c r="I132" i="18"/>
  <c r="I199" i="18"/>
  <c r="H253" i="13"/>
  <c r="F140" i="13"/>
  <c r="H198" i="13" s="1"/>
  <c r="I222" i="18"/>
  <c r="I155" i="18"/>
  <c r="I235" i="18"/>
  <c r="I168" i="18"/>
  <c r="I252" i="13"/>
  <c r="G139" i="13"/>
  <c r="I197" i="13" s="1"/>
  <c r="I206" i="18"/>
  <c r="I139" i="18"/>
  <c r="H242" i="13"/>
  <c r="F129" i="13"/>
  <c r="H187" i="13" s="1"/>
  <c r="G37" i="15"/>
  <c r="C155" i="10"/>
  <c r="C125" i="10"/>
  <c r="C32" i="10"/>
  <c r="C140" i="10"/>
  <c r="C170" i="10"/>
  <c r="G15" i="19"/>
  <c r="G46" i="19" s="1"/>
  <c r="H76" i="12"/>
  <c r="H15" i="19" s="1"/>
  <c r="H46" i="19" s="1"/>
  <c r="H68" i="13"/>
  <c r="J225" i="18"/>
  <c r="J158" i="18"/>
  <c r="F52" i="13"/>
  <c r="F109" i="13" s="1"/>
  <c r="G63" i="12"/>
  <c r="H54" i="12"/>
  <c r="H43" i="13" s="1"/>
  <c r="H100" i="13" s="1"/>
  <c r="G43" i="13"/>
  <c r="G100" i="13" s="1"/>
  <c r="J224" i="18"/>
  <c r="J157" i="18"/>
  <c r="I234" i="13"/>
  <c r="G121" i="13"/>
  <c r="I179" i="13" s="1"/>
  <c r="G19" i="19"/>
  <c r="G50" i="19" s="1"/>
  <c r="H80" i="12"/>
  <c r="H19" i="19" s="1"/>
  <c r="H50" i="19" s="1"/>
  <c r="H58" i="12"/>
  <c r="H47" i="13" s="1"/>
  <c r="H104" i="13" s="1"/>
  <c r="G47" i="13"/>
  <c r="G104" i="13" s="1"/>
  <c r="F145" i="13"/>
  <c r="H204" i="13" s="1"/>
  <c r="H258" i="13"/>
  <c r="H53" i="12"/>
  <c r="H42" i="13" s="1"/>
  <c r="H99" i="13" s="1"/>
  <c r="G42" i="13"/>
  <c r="G99" i="13" s="1"/>
  <c r="H249" i="13"/>
  <c r="F136" i="13"/>
  <c r="H194" i="13" s="1"/>
  <c r="I221" i="18"/>
  <c r="I154" i="18"/>
  <c r="H271" i="13"/>
  <c r="F158" i="13"/>
  <c r="H217" i="13" s="1"/>
  <c r="H61" i="15"/>
  <c r="H57" i="12"/>
  <c r="H46" i="13" s="1"/>
  <c r="H103" i="13" s="1"/>
  <c r="G46" i="13"/>
  <c r="G103" i="13" s="1"/>
  <c r="H55" i="12"/>
  <c r="H44" i="13" s="1"/>
  <c r="H101" i="13" s="1"/>
  <c r="G44" i="13"/>
  <c r="G101" i="13" s="1"/>
  <c r="G20" i="15"/>
  <c r="G44" i="15" s="1"/>
  <c r="H75" i="11"/>
  <c r="H20" i="15" s="1"/>
  <c r="H44" i="15" s="1"/>
  <c r="J239" i="18"/>
  <c r="J175" i="18"/>
  <c r="I146" i="18"/>
  <c r="I213" i="18"/>
  <c r="H245" i="13"/>
  <c r="F132" i="13"/>
  <c r="H190" i="13" s="1"/>
  <c r="G154" i="19"/>
  <c r="G159" i="19" s="1"/>
  <c r="G168" i="19"/>
  <c r="G169" i="19"/>
  <c r="G115" i="18"/>
  <c r="H52" i="18"/>
  <c r="H105" i="18" s="1"/>
  <c r="I173" i="18" s="1"/>
  <c r="H121" i="12"/>
  <c r="I52" i="18" s="1"/>
  <c r="I105" i="18" s="1"/>
  <c r="J173" i="18" s="1"/>
  <c r="G39" i="6"/>
  <c r="D13" i="7"/>
  <c r="I178" i="18"/>
  <c r="I242" i="18"/>
  <c r="H244" i="13"/>
  <c r="F131" i="13"/>
  <c r="H189" i="13" s="1"/>
  <c r="J186" i="13"/>
  <c r="I229" i="18"/>
  <c r="I162" i="18"/>
  <c r="I227" i="18"/>
  <c r="I160" i="18"/>
  <c r="H236" i="13"/>
  <c r="F123" i="13"/>
  <c r="H181" i="13" s="1"/>
  <c r="H233" i="13"/>
  <c r="F120" i="13"/>
  <c r="G24" i="19"/>
  <c r="G55" i="19" s="1"/>
  <c r="H85" i="12"/>
  <c r="H24" i="19" s="1"/>
  <c r="H55" i="19" s="1"/>
  <c r="I208" i="18"/>
  <c r="I141" i="18"/>
  <c r="H263" i="13"/>
  <c r="F150" i="13"/>
  <c r="H209" i="13" s="1"/>
  <c r="J234" i="18"/>
  <c r="J167" i="18"/>
  <c r="F32" i="19"/>
  <c r="G93" i="12"/>
  <c r="G32" i="19" s="1"/>
  <c r="J231" i="18"/>
  <c r="J164" i="18"/>
  <c r="E61" i="13"/>
  <c r="H62" i="12"/>
  <c r="H51" i="13" s="1"/>
  <c r="H108" i="13" s="1"/>
  <c r="G51" i="13"/>
  <c r="G108" i="13" s="1"/>
  <c r="H50" i="18"/>
  <c r="H103" i="18" s="1"/>
  <c r="H119" i="12"/>
  <c r="I50" i="18" s="1"/>
  <c r="I103" i="18" s="1"/>
  <c r="J252" i="13"/>
  <c r="H139" i="13"/>
  <c r="G57" i="13"/>
  <c r="G114" i="13" s="1"/>
  <c r="H68" i="12"/>
  <c r="H57" i="13" s="1"/>
  <c r="H114" i="13" s="1"/>
  <c r="G22" i="19"/>
  <c r="G53" i="19" s="1"/>
  <c r="H83" i="12"/>
  <c r="H22" i="19" s="1"/>
  <c r="H53" i="19" s="1"/>
  <c r="J228" i="18"/>
  <c r="J161" i="18"/>
  <c r="G68" i="13"/>
  <c r="I225" i="18"/>
  <c r="I158" i="18"/>
  <c r="G274" i="13"/>
  <c r="E161" i="13"/>
  <c r="G220" i="13" s="1"/>
  <c r="H265" i="13"/>
  <c r="F152" i="13"/>
  <c r="H211" i="13" s="1"/>
  <c r="I224" i="18"/>
  <c r="I157" i="18"/>
  <c r="F30" i="19"/>
  <c r="F61" i="19" s="1"/>
  <c r="G91" i="12"/>
  <c r="G14" i="19"/>
  <c r="H75" i="12"/>
  <c r="H14" i="19" s="1"/>
  <c r="J234" i="13"/>
  <c r="H121" i="13"/>
  <c r="H269" i="13"/>
  <c r="F156" i="13"/>
  <c r="H215" i="13" s="1"/>
  <c r="H46" i="12"/>
  <c r="H35" i="13" s="1"/>
  <c r="G35" i="13"/>
  <c r="H53" i="18"/>
  <c r="H106" i="18" s="1"/>
  <c r="I174" i="18" s="1"/>
  <c r="H122" i="12"/>
  <c r="I53" i="18" s="1"/>
  <c r="I106" i="18" s="1"/>
  <c r="J174" i="18" s="1"/>
  <c r="G25" i="15"/>
  <c r="G49" i="15" s="1"/>
  <c r="H80" i="11"/>
  <c r="H25" i="15" s="1"/>
  <c r="H49" i="15" s="1"/>
  <c r="H264" i="13"/>
  <c r="F151" i="13"/>
  <c r="H210" i="13" s="1"/>
  <c r="G25" i="13"/>
  <c r="G82" i="13" s="1"/>
  <c r="H25" i="13"/>
  <c r="H82" i="13" s="1"/>
  <c r="H49" i="12"/>
  <c r="H38" i="13" s="1"/>
  <c r="H95" i="13" s="1"/>
  <c r="G38" i="13"/>
  <c r="G95" i="13" s="1"/>
  <c r="G116" i="18"/>
  <c r="G35" i="19"/>
  <c r="G63" i="19" s="1"/>
  <c r="H96" i="12"/>
  <c r="H35" i="19" s="1"/>
  <c r="H63" i="19" s="1"/>
  <c r="J223" i="18"/>
  <c r="J156" i="18"/>
  <c r="G29" i="15"/>
  <c r="G53" i="15" s="1"/>
  <c r="H84" i="11"/>
  <c r="H29" i="15" s="1"/>
  <c r="H53" i="15" s="1"/>
  <c r="H59" i="12"/>
  <c r="H48" i="13" s="1"/>
  <c r="H105" i="13" s="1"/>
  <c r="G48" i="13"/>
  <c r="G105" i="13" s="1"/>
  <c r="F31" i="19"/>
  <c r="G92" i="12"/>
  <c r="G31" i="19" s="1"/>
  <c r="G15" i="15"/>
  <c r="G39" i="15" s="1"/>
  <c r="H70" i="11"/>
  <c r="H15" i="15" s="1"/>
  <c r="H39" i="15" s="1"/>
  <c r="G61" i="15"/>
  <c r="I51" i="4"/>
  <c r="I67" i="4" s="1"/>
  <c r="H67" i="4"/>
  <c r="H268" i="13"/>
  <c r="F155" i="13"/>
  <c r="H214" i="13" s="1"/>
  <c r="H266" i="13"/>
  <c r="F153" i="13"/>
  <c r="H212" i="13" s="1"/>
  <c r="I175" i="18"/>
  <c r="I239" i="18"/>
  <c r="H26" i="13"/>
  <c r="H83" i="13" s="1"/>
  <c r="G26" i="13"/>
  <c r="G83" i="13" s="1"/>
  <c r="G13" i="13"/>
  <c r="G70" i="13" s="1"/>
  <c r="H13" i="13"/>
  <c r="H70" i="13" s="1"/>
  <c r="J209" i="18"/>
  <c r="J142" i="18"/>
  <c r="H28" i="13"/>
  <c r="H85" i="13" s="1"/>
  <c r="G28" i="13"/>
  <c r="G85" i="13" s="1"/>
  <c r="J217" i="18"/>
  <c r="J150" i="18"/>
  <c r="G26" i="19"/>
  <c r="G57" i="19" s="1"/>
  <c r="H87" i="12"/>
  <c r="H26" i="19" s="1"/>
  <c r="H57" i="19" s="1"/>
  <c r="J230" i="18"/>
  <c r="J163" i="18"/>
  <c r="H48" i="12"/>
  <c r="H37" i="13" s="1"/>
  <c r="H94" i="13" s="1"/>
  <c r="G37" i="13"/>
  <c r="G94" i="13" s="1"/>
  <c r="H50" i="12"/>
  <c r="H39" i="13" s="1"/>
  <c r="H96" i="13" s="1"/>
  <c r="G39" i="13"/>
  <c r="G96" i="13" s="1"/>
  <c r="G37" i="19"/>
  <c r="G65" i="19" s="1"/>
  <c r="H98" i="12"/>
  <c r="H37" i="19" s="1"/>
  <c r="H65" i="19" s="1"/>
  <c r="J236" i="18"/>
  <c r="J169" i="18"/>
  <c r="J212" i="18"/>
  <c r="J145" i="18"/>
  <c r="H56" i="12"/>
  <c r="H45" i="13" s="1"/>
  <c r="H102" i="13" s="1"/>
  <c r="G45" i="13"/>
  <c r="G102" i="13" s="1"/>
  <c r="G59" i="13"/>
  <c r="G116" i="13" s="1"/>
  <c r="H70" i="12"/>
  <c r="H59" i="13" s="1"/>
  <c r="H116" i="13" s="1"/>
  <c r="J233" i="18"/>
  <c r="J166" i="18"/>
  <c r="G30" i="15"/>
  <c r="G54" i="15" s="1"/>
  <c r="H85" i="11"/>
  <c r="H30" i="15" s="1"/>
  <c r="H54" i="15" s="1"/>
  <c r="J184" i="13"/>
  <c r="G49" i="4"/>
  <c r="J240" i="18"/>
  <c r="J176" i="18"/>
  <c r="J200" i="18"/>
  <c r="J133" i="18"/>
  <c r="F229" i="13"/>
  <c r="G178" i="13"/>
  <c r="I234" i="18"/>
  <c r="I167" i="18"/>
  <c r="I231" i="18"/>
  <c r="I164" i="18"/>
  <c r="G257" i="13"/>
  <c r="E144" i="13"/>
  <c r="G203" i="13" s="1"/>
  <c r="F11" i="5"/>
  <c r="E11" i="5" s="1"/>
  <c r="H273" i="13"/>
  <c r="F160" i="13"/>
  <c r="H219" i="13" s="1"/>
  <c r="H171" i="18"/>
  <c r="H238" i="18"/>
  <c r="I262" i="13"/>
  <c r="G149" i="13"/>
  <c r="I208" i="13" s="1"/>
  <c r="F43" i="4"/>
  <c r="E68" i="4"/>
  <c r="G119" i="18"/>
  <c r="D302" i="13"/>
  <c r="D305" i="13" s="1"/>
  <c r="B18" i="7"/>
  <c r="E49" i="6"/>
  <c r="H276" i="13"/>
  <c r="F166" i="13"/>
  <c r="H225" i="13" s="1"/>
  <c r="I228" i="18"/>
  <c r="I161" i="18"/>
  <c r="G20" i="19"/>
  <c r="G51" i="19" s="1"/>
  <c r="H81" i="12"/>
  <c r="H20" i="19" s="1"/>
  <c r="H51" i="19" s="1"/>
  <c r="J237" i="18"/>
  <c r="J170" i="18"/>
  <c r="J232" i="18"/>
  <c r="J165" i="18"/>
  <c r="G16" i="19"/>
  <c r="G47" i="19" s="1"/>
  <c r="H77" i="12"/>
  <c r="H16" i="19" s="1"/>
  <c r="H47" i="19" s="1"/>
  <c r="H18" i="13"/>
  <c r="H75" i="13" s="1"/>
  <c r="G18" i="13"/>
  <c r="G75" i="13" s="1"/>
  <c r="J277" i="13"/>
  <c r="H167" i="13"/>
  <c r="J226" i="13" s="1"/>
  <c r="F45" i="19"/>
  <c r="F39" i="19"/>
  <c r="G16" i="15"/>
  <c r="G40" i="15" s="1"/>
  <c r="H71" i="11"/>
  <c r="H16" i="15" s="1"/>
  <c r="H40" i="15" s="1"/>
  <c r="G56" i="13"/>
  <c r="G113" i="13" s="1"/>
  <c r="H67" i="12"/>
  <c r="H56" i="13" s="1"/>
  <c r="H113" i="13" s="1"/>
  <c r="J204" i="18"/>
  <c r="J137" i="18"/>
  <c r="F61" i="13"/>
  <c r="F92" i="13"/>
  <c r="H247" i="13"/>
  <c r="F134" i="13"/>
  <c r="H192" i="13" s="1"/>
  <c r="H260" i="13"/>
  <c r="F147" i="13"/>
  <c r="H206" i="13" s="1"/>
  <c r="I223" i="18"/>
  <c r="I156" i="18"/>
  <c r="G24" i="15"/>
  <c r="G48" i="15" s="1"/>
  <c r="H79" i="11"/>
  <c r="H24" i="15" s="1"/>
  <c r="H48" i="15" s="1"/>
  <c r="J211" i="18"/>
  <c r="J144" i="18"/>
  <c r="H270" i="13"/>
  <c r="F157" i="13"/>
  <c r="H216" i="13" s="1"/>
  <c r="G27" i="15"/>
  <c r="G51" i="15" s="1"/>
  <c r="H82" i="11"/>
  <c r="H27" i="15" s="1"/>
  <c r="H51" i="15" s="1"/>
  <c r="G27" i="19"/>
  <c r="G58" i="19" s="1"/>
  <c r="H88" i="12"/>
  <c r="H27" i="19" s="1"/>
  <c r="H58" i="19" s="1"/>
  <c r="H61" i="12"/>
  <c r="H50" i="13" s="1"/>
  <c r="H107" i="13" s="1"/>
  <c r="G50" i="13"/>
  <c r="G107" i="13" s="1"/>
  <c r="H248" i="13"/>
  <c r="F135" i="13"/>
  <c r="H193" i="13" s="1"/>
  <c r="H235" i="13"/>
  <c r="F122" i="13"/>
  <c r="H180" i="13" s="1"/>
  <c r="I142" i="18"/>
  <c r="I209" i="18"/>
  <c r="H250" i="13"/>
  <c r="F137" i="13"/>
  <c r="H195" i="13" s="1"/>
  <c r="I150" i="18"/>
  <c r="I217" i="18"/>
  <c r="G22" i="15"/>
  <c r="G46" i="15" s="1"/>
  <c r="H77" i="11"/>
  <c r="H22" i="15" s="1"/>
  <c r="H46" i="15" s="1"/>
  <c r="I230" i="18"/>
  <c r="I163" i="18"/>
  <c r="H259" i="13"/>
  <c r="F146" i="13"/>
  <c r="H205" i="13" s="1"/>
  <c r="H261" i="13"/>
  <c r="F148" i="13"/>
  <c r="H207" i="13" s="1"/>
  <c r="I236" i="18"/>
  <c r="I169" i="18"/>
  <c r="I212" i="18"/>
  <c r="I145" i="18"/>
  <c r="H267" i="13"/>
  <c r="F154" i="13"/>
  <c r="H213" i="13" s="1"/>
  <c r="G254" i="18"/>
  <c r="D160" i="10"/>
  <c r="D130" i="10"/>
  <c r="D37" i="10"/>
  <c r="D145" i="10"/>
  <c r="D175" i="10"/>
  <c r="H278" i="13"/>
  <c r="F168" i="13"/>
  <c r="H227" i="13" s="1"/>
  <c r="I233" i="18"/>
  <c r="I166" i="18"/>
  <c r="G34" i="19"/>
  <c r="G62" i="19" s="1"/>
  <c r="H95" i="12"/>
  <c r="H34" i="19" s="1"/>
  <c r="H62" i="19" s="1"/>
  <c r="I176" i="18"/>
  <c r="I240" i="18"/>
  <c r="I200" i="18"/>
  <c r="I133" i="18"/>
  <c r="O62" i="4"/>
  <c r="O63" i="4" s="1"/>
  <c r="G247" i="18"/>
  <c r="G184" i="18"/>
  <c r="E39" i="19"/>
  <c r="H51" i="18"/>
  <c r="H104" i="18" s="1"/>
  <c r="I172" i="18" s="1"/>
  <c r="H120" i="12"/>
  <c r="I51" i="18" s="1"/>
  <c r="I104" i="18" s="1"/>
  <c r="J199" i="18"/>
  <c r="J132" i="18"/>
  <c r="G31" i="13"/>
  <c r="G88" i="13" s="1"/>
  <c r="H31" i="13"/>
  <c r="H88" i="13" s="1"/>
  <c r="J222" i="18"/>
  <c r="J155" i="18"/>
  <c r="G17" i="19"/>
  <c r="G48" i="19" s="1"/>
  <c r="H78" i="12"/>
  <c r="H17" i="19" s="1"/>
  <c r="H48" i="19" s="1"/>
  <c r="J235" i="18"/>
  <c r="J168" i="18"/>
  <c r="J262" i="13"/>
  <c r="H149" i="13"/>
  <c r="J208" i="13" s="1"/>
  <c r="G182" i="18"/>
  <c r="G245" i="18"/>
  <c r="M43" i="4" l="1"/>
  <c r="L68" i="4"/>
  <c r="H85" i="15"/>
  <c r="H98" i="15"/>
  <c r="H99" i="15"/>
  <c r="O64" i="4"/>
  <c r="P61" i="4" s="1"/>
  <c r="P62" i="4" s="1"/>
  <c r="P63" i="4" s="1"/>
  <c r="F17" i="6"/>
  <c r="E175" i="19" s="1"/>
  <c r="J94" i="15"/>
  <c r="J93" i="15"/>
  <c r="I94" i="15"/>
  <c r="I93" i="15"/>
  <c r="E21" i="6"/>
  <c r="E42" i="6" s="1"/>
  <c r="E44" i="6" s="1"/>
  <c r="D105" i="15"/>
  <c r="D107" i="15" s="1"/>
  <c r="E50" i="6" s="1"/>
  <c r="F8" i="6"/>
  <c r="E174" i="19" s="1"/>
  <c r="C171" i="10"/>
  <c r="C177" i="10" s="1"/>
  <c r="H60" i="15"/>
  <c r="H65" i="15"/>
  <c r="C33" i="10"/>
  <c r="C39" i="10" s="1"/>
  <c r="G60" i="15"/>
  <c r="G65" i="15"/>
  <c r="I86" i="15" s="1"/>
  <c r="C156" i="10"/>
  <c r="C162" i="10" s="1"/>
  <c r="B15" i="7"/>
  <c r="C6" i="9" s="1"/>
  <c r="C126" i="10"/>
  <c r="C132" i="10" s="1"/>
  <c r="E35" i="15"/>
  <c r="G97" i="15" s="1"/>
  <c r="F96" i="15"/>
  <c r="G17" i="6" s="1"/>
  <c r="D174" i="10"/>
  <c r="F37" i="6"/>
  <c r="F41" i="6" s="1"/>
  <c r="D159" i="10"/>
  <c r="D36" i="10"/>
  <c r="H245" i="18"/>
  <c r="D144" i="10"/>
  <c r="F89" i="15"/>
  <c r="G37" i="6" s="1"/>
  <c r="F260" i="18"/>
  <c r="F262" i="18" s="1"/>
  <c r="F274" i="18" s="1"/>
  <c r="F276" i="18" s="1"/>
  <c r="E10" i="13"/>
  <c r="G282" i="13" s="1"/>
  <c r="F283" i="13"/>
  <c r="G16" i="6" s="1"/>
  <c r="F290" i="13" s="1"/>
  <c r="F47" i="6"/>
  <c r="C22" i="7"/>
  <c r="J197" i="13"/>
  <c r="I114" i="18"/>
  <c r="J245" i="18" s="1"/>
  <c r="G285" i="13"/>
  <c r="J179" i="13"/>
  <c r="E12" i="15"/>
  <c r="G95" i="15" s="1"/>
  <c r="G284" i="13"/>
  <c r="I116" i="18"/>
  <c r="J247" i="18" s="1"/>
  <c r="H253" i="18"/>
  <c r="J238" i="13"/>
  <c r="H125" i="13"/>
  <c r="I140" i="18"/>
  <c r="I207" i="18"/>
  <c r="F133" i="13"/>
  <c r="H191" i="13" s="1"/>
  <c r="H246" i="13"/>
  <c r="H66" i="15"/>
  <c r="F33" i="13"/>
  <c r="F65" i="13" s="1"/>
  <c r="H200" i="13" s="1"/>
  <c r="D12" i="7"/>
  <c r="E144" i="10" s="1"/>
  <c r="I238" i="13"/>
  <c r="G125" i="13"/>
  <c r="I183" i="13" s="1"/>
  <c r="G24" i="13"/>
  <c r="G81" i="13" s="1"/>
  <c r="H24" i="13"/>
  <c r="H81" i="13" s="1"/>
  <c r="H81" i="11"/>
  <c r="H26" i="15" s="1"/>
  <c r="H50" i="15" s="1"/>
  <c r="G26" i="15"/>
  <c r="G50" i="15" s="1"/>
  <c r="H15" i="6"/>
  <c r="G260" i="18" s="1"/>
  <c r="G191" i="18"/>
  <c r="E12" i="7" s="1"/>
  <c r="F32" i="15"/>
  <c r="J210" i="18"/>
  <c r="J143" i="18"/>
  <c r="F130" i="13"/>
  <c r="H188" i="13" s="1"/>
  <c r="H243" i="13"/>
  <c r="H254" i="18"/>
  <c r="I210" i="18"/>
  <c r="I143" i="18"/>
  <c r="G21" i="13"/>
  <c r="G78" i="13" s="1"/>
  <c r="H21" i="13"/>
  <c r="H78" i="13" s="1"/>
  <c r="J207" i="18"/>
  <c r="J140" i="18"/>
  <c r="H78" i="11"/>
  <c r="H23" i="15" s="1"/>
  <c r="H47" i="15" s="1"/>
  <c r="G23" i="15"/>
  <c r="G47" i="15" s="1"/>
  <c r="G66" i="15"/>
  <c r="O40" i="4"/>
  <c r="P37" i="4" s="1"/>
  <c r="P38" i="4" s="1"/>
  <c r="P39" i="4" s="1"/>
  <c r="Q56" i="4"/>
  <c r="Q58" i="4" s="1"/>
  <c r="J163" i="19"/>
  <c r="H126" i="19"/>
  <c r="H143" i="19" s="1"/>
  <c r="H124" i="19"/>
  <c r="H141" i="19" s="1"/>
  <c r="J167" i="19"/>
  <c r="J164" i="19"/>
  <c r="H125" i="19"/>
  <c r="H142" i="19" s="1"/>
  <c r="I272" i="13"/>
  <c r="G159" i="13"/>
  <c r="I218" i="13" s="1"/>
  <c r="H257" i="13"/>
  <c r="F144" i="13"/>
  <c r="H203" i="13" s="1"/>
  <c r="J275" i="13"/>
  <c r="H165" i="13"/>
  <c r="F42" i="19"/>
  <c r="F12" i="19"/>
  <c r="I240" i="13"/>
  <c r="G127" i="13"/>
  <c r="I185" i="13" s="1"/>
  <c r="F46" i="4"/>
  <c r="F65" i="4"/>
  <c r="E13" i="8" s="1"/>
  <c r="E15" i="8" s="1"/>
  <c r="G52" i="4"/>
  <c r="I278" i="13"/>
  <c r="G168" i="13"/>
  <c r="I227" i="13" s="1"/>
  <c r="I267" i="13"/>
  <c r="G154" i="13"/>
  <c r="I213" i="13" s="1"/>
  <c r="J261" i="13"/>
  <c r="H148" i="13"/>
  <c r="J248" i="13"/>
  <c r="H135" i="13"/>
  <c r="I270" i="13"/>
  <c r="G157" i="13"/>
  <c r="I216" i="13" s="1"/>
  <c r="H247" i="18"/>
  <c r="H184" i="18"/>
  <c r="I247" i="13"/>
  <c r="G134" i="13"/>
  <c r="I192" i="13" s="1"/>
  <c r="G92" i="13"/>
  <c r="G30" i="19"/>
  <c r="G61" i="19" s="1"/>
  <c r="H91" i="12"/>
  <c r="H30" i="19" s="1"/>
  <c r="H61" i="19" s="1"/>
  <c r="I273" i="13"/>
  <c r="G160" i="13"/>
  <c r="I219" i="13" s="1"/>
  <c r="I266" i="13"/>
  <c r="G153" i="13"/>
  <c r="I212" i="13" s="1"/>
  <c r="J264" i="13"/>
  <c r="H151" i="13"/>
  <c r="I269" i="13"/>
  <c r="G156" i="13"/>
  <c r="I215" i="13" s="1"/>
  <c r="H63" i="12"/>
  <c r="H52" i="13" s="1"/>
  <c r="H109" i="13" s="1"/>
  <c r="G52" i="13"/>
  <c r="G109" i="13" s="1"/>
  <c r="J263" i="13"/>
  <c r="H150" i="13"/>
  <c r="I236" i="13"/>
  <c r="G123" i="13"/>
  <c r="I181" i="13" s="1"/>
  <c r="J244" i="13"/>
  <c r="H131" i="13"/>
  <c r="I245" i="13"/>
  <c r="G132" i="13"/>
  <c r="I190" i="13" s="1"/>
  <c r="J271" i="13"/>
  <c r="H158" i="13"/>
  <c r="G18" i="6"/>
  <c r="H9" i="6" s="1"/>
  <c r="H114" i="18"/>
  <c r="J253" i="13"/>
  <c r="H140" i="13"/>
  <c r="N50" i="4"/>
  <c r="N52" i="4" s="1"/>
  <c r="I167" i="19"/>
  <c r="G125" i="19"/>
  <c r="G142" i="19" s="1"/>
  <c r="I155" i="19" s="1"/>
  <c r="I164" i="19"/>
  <c r="G126" i="19"/>
  <c r="G143" i="19" s="1"/>
  <c r="I156" i="19" s="1"/>
  <c r="G124" i="19"/>
  <c r="G141" i="19" s="1"/>
  <c r="I163" i="19"/>
  <c r="D156" i="10"/>
  <c r="D126" i="10"/>
  <c r="D33" i="10"/>
  <c r="D141" i="10"/>
  <c r="D171" i="10"/>
  <c r="J272" i="13"/>
  <c r="H159" i="13"/>
  <c r="J218" i="13" s="1"/>
  <c r="I275" i="13"/>
  <c r="G165" i="13"/>
  <c r="I224" i="13" s="1"/>
  <c r="J240" i="13"/>
  <c r="H127" i="13"/>
  <c r="G11" i="5"/>
  <c r="C12" i="5" s="1"/>
  <c r="J267" i="13"/>
  <c r="H154" i="13"/>
  <c r="J213" i="13" s="1"/>
  <c r="I259" i="13"/>
  <c r="G146" i="13"/>
  <c r="I205" i="13" s="1"/>
  <c r="I250" i="13"/>
  <c r="G137" i="13"/>
  <c r="I195" i="13" s="1"/>
  <c r="J235" i="13"/>
  <c r="H122" i="13"/>
  <c r="J270" i="13"/>
  <c r="H157" i="13"/>
  <c r="J216" i="13" s="1"/>
  <c r="I260" i="13"/>
  <c r="G147" i="13"/>
  <c r="I206" i="13" s="1"/>
  <c r="H61" i="13"/>
  <c r="H92" i="13"/>
  <c r="J273" i="13"/>
  <c r="H160" i="13"/>
  <c r="J219" i="13" s="1"/>
  <c r="J266" i="13"/>
  <c r="H153" i="13"/>
  <c r="J212" i="13" s="1"/>
  <c r="J269" i="13"/>
  <c r="H156" i="13"/>
  <c r="J215" i="13" s="1"/>
  <c r="H274" i="13"/>
  <c r="F161" i="13"/>
  <c r="H220" i="13" s="1"/>
  <c r="J233" i="13"/>
  <c r="H120" i="13"/>
  <c r="J236" i="13"/>
  <c r="H123" i="13"/>
  <c r="H250" i="18"/>
  <c r="H187" i="18"/>
  <c r="J249" i="13"/>
  <c r="H136" i="13"/>
  <c r="I258" i="13"/>
  <c r="G145" i="13"/>
  <c r="I204" i="13" s="1"/>
  <c r="D186" i="19"/>
  <c r="D188" i="19" s="1"/>
  <c r="B23" i="7"/>
  <c r="E52" i="6"/>
  <c r="G259" i="18"/>
  <c r="H63" i="15"/>
  <c r="H188" i="18"/>
  <c r="H251" i="18"/>
  <c r="G229" i="13"/>
  <c r="J259" i="13"/>
  <c r="H146" i="13"/>
  <c r="J205" i="13" s="1"/>
  <c r="J250" i="13"/>
  <c r="H137" i="13"/>
  <c r="I235" i="13"/>
  <c r="G122" i="13"/>
  <c r="I180" i="13" s="1"/>
  <c r="J260" i="13"/>
  <c r="H147" i="13"/>
  <c r="J206" i="13" s="1"/>
  <c r="H45" i="19"/>
  <c r="H39" i="19"/>
  <c r="I233" i="13"/>
  <c r="G120" i="13"/>
  <c r="J276" i="13"/>
  <c r="H166" i="13"/>
  <c r="J238" i="18"/>
  <c r="J171" i="18"/>
  <c r="H178" i="13"/>
  <c r="E160" i="10"/>
  <c r="E175" i="10"/>
  <c r="E145" i="10"/>
  <c r="E130" i="10"/>
  <c r="E37" i="10"/>
  <c r="H39" i="6"/>
  <c r="E13" i="7"/>
  <c r="I268" i="13"/>
  <c r="G155" i="13"/>
  <c r="I214" i="13" s="1"/>
  <c r="I265" i="13"/>
  <c r="G152" i="13"/>
  <c r="I211" i="13" s="1"/>
  <c r="C147" i="10"/>
  <c r="I249" i="13"/>
  <c r="G136" i="13"/>
  <c r="I194" i="13" s="1"/>
  <c r="J258" i="13"/>
  <c r="H145" i="13"/>
  <c r="J204" i="13" s="1"/>
  <c r="I242" i="13"/>
  <c r="G129" i="13"/>
  <c r="I187" i="13" s="1"/>
  <c r="P57" i="4"/>
  <c r="I253" i="13"/>
  <c r="G140" i="13"/>
  <c r="I198" i="13" s="1"/>
  <c r="J172" i="18"/>
  <c r="E42" i="19"/>
  <c r="E12" i="19"/>
  <c r="I118" i="18"/>
  <c r="G63" i="15"/>
  <c r="D8" i="7"/>
  <c r="G36" i="6"/>
  <c r="J278" i="13"/>
  <c r="H168" i="13"/>
  <c r="J227" i="13" s="1"/>
  <c r="I261" i="13"/>
  <c r="G148" i="13"/>
  <c r="I207" i="13" s="1"/>
  <c r="I248" i="13"/>
  <c r="G135" i="13"/>
  <c r="I193" i="13" s="1"/>
  <c r="J247" i="13"/>
  <c r="H134" i="13"/>
  <c r="G45" i="19"/>
  <c r="G39" i="19"/>
  <c r="I276" i="13"/>
  <c r="G166" i="13"/>
  <c r="I225" i="13" s="1"/>
  <c r="I238" i="18"/>
  <c r="I171" i="18"/>
  <c r="H119" i="18"/>
  <c r="H118" i="18"/>
  <c r="H116" i="18"/>
  <c r="H115" i="18"/>
  <c r="H183" i="18"/>
  <c r="H246" i="18"/>
  <c r="E290" i="13"/>
  <c r="E292" i="13" s="1"/>
  <c r="G7" i="6"/>
  <c r="J268" i="13"/>
  <c r="H155" i="13"/>
  <c r="J214" i="13" s="1"/>
  <c r="I264" i="13"/>
  <c r="G151" i="13"/>
  <c r="I210" i="13" s="1"/>
  <c r="J265" i="13"/>
  <c r="H152" i="13"/>
  <c r="J211" i="13" s="1"/>
  <c r="I263" i="13"/>
  <c r="G150" i="13"/>
  <c r="I209" i="13" s="1"/>
  <c r="H154" i="19"/>
  <c r="H159" i="19" s="1"/>
  <c r="H168" i="19"/>
  <c r="H169" i="19"/>
  <c r="I244" i="13"/>
  <c r="G131" i="13"/>
  <c r="I189" i="13" s="1"/>
  <c r="J245" i="13"/>
  <c r="H132" i="13"/>
  <c r="I271" i="13"/>
  <c r="G158" i="13"/>
  <c r="I217" i="13" s="1"/>
  <c r="I119" i="18"/>
  <c r="D155" i="10"/>
  <c r="D125" i="10"/>
  <c r="D32" i="10"/>
  <c r="D140" i="10"/>
  <c r="D170" i="10"/>
  <c r="C15" i="7"/>
  <c r="J242" i="13"/>
  <c r="H129" i="13"/>
  <c r="I115" i="18"/>
  <c r="M44" i="4" l="1"/>
  <c r="M46" i="4" s="1"/>
  <c r="M65" i="4"/>
  <c r="J98" i="15"/>
  <c r="J99" i="15"/>
  <c r="I85" i="15"/>
  <c r="I99" i="15"/>
  <c r="I98" i="15"/>
  <c r="G8" i="6"/>
  <c r="F174" i="19" s="1"/>
  <c r="D116" i="15"/>
  <c r="D118" i="15" s="1"/>
  <c r="F21" i="6"/>
  <c r="F42" i="6" s="1"/>
  <c r="F44" i="6" s="1"/>
  <c r="E105" i="15"/>
  <c r="F12" i="6"/>
  <c r="J86" i="15"/>
  <c r="E104" i="15"/>
  <c r="B19" i="7"/>
  <c r="B25" i="7" s="1"/>
  <c r="C165" i="10" s="1"/>
  <c r="C166" i="10" s="1"/>
  <c r="C167" i="10" s="1"/>
  <c r="J85" i="15"/>
  <c r="D177" i="10"/>
  <c r="D162" i="10"/>
  <c r="J182" i="18"/>
  <c r="E174" i="10"/>
  <c r="D9" i="7"/>
  <c r="E126" i="10" s="1"/>
  <c r="H32" i="15"/>
  <c r="H12" i="15" s="1"/>
  <c r="J95" i="15" s="1"/>
  <c r="F12" i="15"/>
  <c r="H95" i="15" s="1"/>
  <c r="G283" i="13"/>
  <c r="H16" i="6" s="1"/>
  <c r="I7" i="6" s="1"/>
  <c r="H289" i="13" s="1"/>
  <c r="J187" i="13"/>
  <c r="F10" i="13"/>
  <c r="H282" i="13" s="1"/>
  <c r="F35" i="15"/>
  <c r="G41" i="6"/>
  <c r="G96" i="15"/>
  <c r="H17" i="6" s="1"/>
  <c r="G105" i="15" s="1"/>
  <c r="J190" i="13"/>
  <c r="J195" i="13"/>
  <c r="E36" i="10"/>
  <c r="E159" i="10"/>
  <c r="J185" i="13"/>
  <c r="H33" i="13"/>
  <c r="H65" i="13" s="1"/>
  <c r="J200" i="13" s="1"/>
  <c r="H34" i="6"/>
  <c r="I15" i="6"/>
  <c r="J6" i="6" s="1"/>
  <c r="E129" i="10"/>
  <c r="D147" i="10"/>
  <c r="G89" i="15"/>
  <c r="E9" i="7" s="1"/>
  <c r="G33" i="13"/>
  <c r="G65" i="13" s="1"/>
  <c r="I200" i="13" s="1"/>
  <c r="H285" i="13"/>
  <c r="G262" i="18"/>
  <c r="E22" i="7" s="1"/>
  <c r="D22" i="7"/>
  <c r="I6" i="6"/>
  <c r="H259" i="18" s="1"/>
  <c r="H284" i="13"/>
  <c r="G47" i="6"/>
  <c r="D39" i="10"/>
  <c r="H7" i="6"/>
  <c r="G289" i="13" s="1"/>
  <c r="I253" i="18"/>
  <c r="J192" i="13"/>
  <c r="J243" i="13"/>
  <c r="H130" i="13"/>
  <c r="H191" i="18"/>
  <c r="F12" i="7" s="1"/>
  <c r="G130" i="13"/>
  <c r="I188" i="13" s="1"/>
  <c r="I243" i="13"/>
  <c r="H133" i="13"/>
  <c r="J246" i="13"/>
  <c r="J183" i="13"/>
  <c r="D132" i="10"/>
  <c r="G32" i="15"/>
  <c r="J181" i="13"/>
  <c r="I246" i="13"/>
  <c r="G133" i="13"/>
  <c r="I191" i="13" s="1"/>
  <c r="Q57" i="4"/>
  <c r="E54" i="6"/>
  <c r="E55" i="6" s="1"/>
  <c r="E56" i="6" s="1"/>
  <c r="P40" i="4"/>
  <c r="Q37" i="4" s="1"/>
  <c r="I247" i="18"/>
  <c r="I184" i="18"/>
  <c r="G42" i="19"/>
  <c r="G12" i="19"/>
  <c r="E155" i="10"/>
  <c r="E170" i="10"/>
  <c r="E140" i="10"/>
  <c r="E125" i="10"/>
  <c r="E32" i="10"/>
  <c r="G165" i="19"/>
  <c r="G166" i="19"/>
  <c r="J225" i="13"/>
  <c r="H42" i="19"/>
  <c r="H12" i="19"/>
  <c r="F175" i="19"/>
  <c r="F105" i="15"/>
  <c r="H8" i="6"/>
  <c r="O49" i="4"/>
  <c r="J217" i="13"/>
  <c r="J189" i="13"/>
  <c r="J209" i="13"/>
  <c r="J207" i="13"/>
  <c r="H165" i="19"/>
  <c r="H166" i="19"/>
  <c r="G21" i="6"/>
  <c r="G42" i="6" s="1"/>
  <c r="J246" i="18"/>
  <c r="J183" i="18"/>
  <c r="J254" i="18"/>
  <c r="J188" i="18"/>
  <c r="J251" i="18"/>
  <c r="F13" i="7"/>
  <c r="I39" i="6"/>
  <c r="I250" i="18"/>
  <c r="I187" i="18"/>
  <c r="H229" i="13"/>
  <c r="H144" i="13"/>
  <c r="J257" i="13"/>
  <c r="I274" i="13"/>
  <c r="G161" i="13"/>
  <c r="I220" i="13" s="1"/>
  <c r="J210" i="13"/>
  <c r="G43" i="4"/>
  <c r="F68" i="4"/>
  <c r="J154" i="19"/>
  <c r="J168" i="19"/>
  <c r="J169" i="19"/>
  <c r="F289" i="13"/>
  <c r="F292" i="13" s="1"/>
  <c r="I251" i="18"/>
  <c r="I188" i="18"/>
  <c r="I178" i="13"/>
  <c r="E8" i="7"/>
  <c r="H36" i="6"/>
  <c r="I154" i="19"/>
  <c r="I159" i="19" s="1"/>
  <c r="I169" i="19"/>
  <c r="I168" i="19"/>
  <c r="J198" i="13"/>
  <c r="J274" i="13"/>
  <c r="H161" i="13"/>
  <c r="J220" i="13" s="1"/>
  <c r="I257" i="13"/>
  <c r="G144" i="13"/>
  <c r="I203" i="13" s="1"/>
  <c r="J193" i="13"/>
  <c r="J224" i="13"/>
  <c r="J155" i="19"/>
  <c r="J156" i="19"/>
  <c r="F174" i="10"/>
  <c r="F129" i="10"/>
  <c r="F36" i="10"/>
  <c r="F159" i="10"/>
  <c r="F144" i="10"/>
  <c r="D6" i="9"/>
  <c r="E302" i="13"/>
  <c r="E305" i="13" s="1"/>
  <c r="C18" i="7"/>
  <c r="F49" i="6"/>
  <c r="I183" i="18"/>
  <c r="I246" i="18"/>
  <c r="J187" i="18"/>
  <c r="J250" i="18"/>
  <c r="J253" i="18"/>
  <c r="E177" i="19"/>
  <c r="F175" i="10"/>
  <c r="F130" i="10"/>
  <c r="F37" i="10"/>
  <c r="F160" i="10"/>
  <c r="F145" i="10"/>
  <c r="P64" i="4"/>
  <c r="Q61" i="4" s="1"/>
  <c r="J194" i="13"/>
  <c r="I254" i="18"/>
  <c r="J178" i="13"/>
  <c r="J180" i="13"/>
  <c r="D12" i="5"/>
  <c r="N51" i="4"/>
  <c r="I245" i="18"/>
  <c r="I182" i="18"/>
  <c r="G61" i="13"/>
  <c r="H49" i="4"/>
  <c r="J184" i="18"/>
  <c r="N43" i="4" l="1"/>
  <c r="M68" i="4"/>
  <c r="M66" i="4"/>
  <c r="D97" i="4" s="1"/>
  <c r="M45" i="4"/>
  <c r="F104" i="15"/>
  <c r="F107" i="15" s="1"/>
  <c r="G12" i="6"/>
  <c r="E107" i="15"/>
  <c r="E116" i="15" s="1"/>
  <c r="E118" i="15" s="1"/>
  <c r="E171" i="10"/>
  <c r="E177" i="10" s="1"/>
  <c r="E141" i="10"/>
  <c r="E147" i="10" s="1"/>
  <c r="D15" i="7"/>
  <c r="E6" i="9" s="1"/>
  <c r="H35" i="15"/>
  <c r="E33" i="10"/>
  <c r="E39" i="10" s="1"/>
  <c r="E156" i="10"/>
  <c r="E162" i="10" s="1"/>
  <c r="H96" i="15"/>
  <c r="J285" i="13"/>
  <c r="G35" i="15"/>
  <c r="H260" i="18"/>
  <c r="H262" i="18" s="1"/>
  <c r="H37" i="6"/>
  <c r="H41" i="6" s="1"/>
  <c r="H97" i="15"/>
  <c r="J284" i="13"/>
  <c r="G44" i="6"/>
  <c r="H283" i="13"/>
  <c r="I16" i="6" s="1"/>
  <c r="J7" i="6" s="1"/>
  <c r="I289" i="13" s="1"/>
  <c r="H10" i="13"/>
  <c r="J283" i="13" s="1"/>
  <c r="G12" i="15"/>
  <c r="I95" i="15" s="1"/>
  <c r="G10" i="13"/>
  <c r="I282" i="13" s="1"/>
  <c r="G274" i="18"/>
  <c r="G276" i="18" s="1"/>
  <c r="I34" i="6"/>
  <c r="I284" i="13"/>
  <c r="I191" i="18"/>
  <c r="J34" i="6" s="1"/>
  <c r="H47" i="6"/>
  <c r="I285" i="13"/>
  <c r="J15" i="6"/>
  <c r="I260" i="18" s="1"/>
  <c r="K15" i="6"/>
  <c r="J260" i="18" s="1"/>
  <c r="H89" i="15"/>
  <c r="F9" i="7" s="1"/>
  <c r="J191" i="13"/>
  <c r="J188" i="13"/>
  <c r="J191" i="18"/>
  <c r="K34" i="6" s="1"/>
  <c r="C22" i="9"/>
  <c r="C180" i="10"/>
  <c r="C181" i="10" s="1"/>
  <c r="C182" i="10" s="1"/>
  <c r="C135" i="10"/>
  <c r="C136" i="10" s="1"/>
  <c r="C137" i="10" s="1"/>
  <c r="B38" i="7"/>
  <c r="B40" i="7" s="1"/>
  <c r="C109" i="10" s="1"/>
  <c r="C150" i="10"/>
  <c r="C151" i="10" s="1"/>
  <c r="C152" i="10" s="1"/>
  <c r="C41" i="10"/>
  <c r="C43" i="10" s="1"/>
  <c r="C47" i="10" s="1"/>
  <c r="C11" i="9"/>
  <c r="C27" i="9" s="1"/>
  <c r="C28" i="9" s="1"/>
  <c r="G175" i="19"/>
  <c r="G290" i="13"/>
  <c r="G292" i="13" s="1"/>
  <c r="G302" i="13" s="1"/>
  <c r="G305" i="13" s="1"/>
  <c r="I8" i="6"/>
  <c r="H104" i="15" s="1"/>
  <c r="H18" i="6"/>
  <c r="I9" i="6" s="1"/>
  <c r="Q38" i="4"/>
  <c r="Q39" i="4" s="1"/>
  <c r="G13" i="7"/>
  <c r="J39" i="6"/>
  <c r="I229" i="13"/>
  <c r="O50" i="4"/>
  <c r="F177" i="19"/>
  <c r="G174" i="10"/>
  <c r="G129" i="10"/>
  <c r="G36" i="10"/>
  <c r="G159" i="10"/>
  <c r="G144" i="10"/>
  <c r="J41" i="7"/>
  <c r="D11" i="2"/>
  <c r="D12" i="2" s="1"/>
  <c r="H52" i="4"/>
  <c r="G175" i="10"/>
  <c r="G130" i="10"/>
  <c r="G37" i="10"/>
  <c r="G160" i="10"/>
  <c r="G145" i="10"/>
  <c r="J165" i="19"/>
  <c r="J166" i="19"/>
  <c r="F12" i="5"/>
  <c r="E12" i="5" s="1"/>
  <c r="Q62" i="4"/>
  <c r="Q63" i="4" s="1"/>
  <c r="J96" i="15"/>
  <c r="J203" i="13"/>
  <c r="G174" i="19"/>
  <c r="G104" i="15"/>
  <c r="G107" i="15" s="1"/>
  <c r="H12" i="6"/>
  <c r="E186" i="19"/>
  <c r="E188" i="19" s="1"/>
  <c r="C23" i="7"/>
  <c r="F52" i="6"/>
  <c r="F302" i="13"/>
  <c r="F305" i="13" s="1"/>
  <c r="D18" i="7"/>
  <c r="G49" i="6"/>
  <c r="F170" i="10"/>
  <c r="F125" i="10"/>
  <c r="F32" i="10"/>
  <c r="F155" i="10"/>
  <c r="F140" i="10"/>
  <c r="E15" i="7"/>
  <c r="I259" i="18"/>
  <c r="F171" i="10"/>
  <c r="F126" i="10"/>
  <c r="F33" i="10"/>
  <c r="F156" i="10"/>
  <c r="F141" i="10"/>
  <c r="J159" i="19"/>
  <c r="G46" i="4"/>
  <c r="G65" i="4"/>
  <c r="F13" i="8" s="1"/>
  <c r="F15" i="8" s="1"/>
  <c r="F8" i="7"/>
  <c r="I36" i="6"/>
  <c r="I18" i="6"/>
  <c r="E132" i="10"/>
  <c r="I165" i="19"/>
  <c r="I166" i="19"/>
  <c r="M67" i="4" l="1"/>
  <c r="N44" i="4"/>
  <c r="N66" i="4" s="1"/>
  <c r="E97" i="4" s="1"/>
  <c r="N65" i="4"/>
  <c r="C19" i="7"/>
  <c r="C25" i="7" s="1"/>
  <c r="D165" i="10" s="1"/>
  <c r="D166" i="10" s="1"/>
  <c r="D167" i="10" s="1"/>
  <c r="F50" i="6"/>
  <c r="F54" i="6" s="1"/>
  <c r="F55" i="6" s="1"/>
  <c r="D11" i="9" s="1"/>
  <c r="D12" i="9" s="1"/>
  <c r="J97" i="15"/>
  <c r="K17" i="6" s="1"/>
  <c r="I96" i="15"/>
  <c r="I97" i="15"/>
  <c r="I17" i="6"/>
  <c r="H175" i="19" s="1"/>
  <c r="J12" i="15"/>
  <c r="J13" i="15" s="1"/>
  <c r="J282" i="13"/>
  <c r="K16" i="6" s="1"/>
  <c r="J290" i="13" s="1"/>
  <c r="I283" i="13"/>
  <c r="J16" i="6" s="1"/>
  <c r="K7" i="6" s="1"/>
  <c r="J289" i="13" s="1"/>
  <c r="I37" i="6"/>
  <c r="I41" i="6" s="1"/>
  <c r="K6" i="6"/>
  <c r="J259" i="18" s="1"/>
  <c r="J262" i="18" s="1"/>
  <c r="G12" i="7"/>
  <c r="H159" i="10" s="1"/>
  <c r="I89" i="15"/>
  <c r="G9" i="7" s="1"/>
  <c r="J229" i="13"/>
  <c r="H8" i="7" s="1"/>
  <c r="H12" i="7"/>
  <c r="I144" i="10" s="1"/>
  <c r="J89" i="15"/>
  <c r="K37" i="6" s="1"/>
  <c r="I262" i="18"/>
  <c r="G22" i="7" s="1"/>
  <c r="G177" i="19"/>
  <c r="G186" i="19" s="1"/>
  <c r="G188" i="19" s="1"/>
  <c r="B45" i="7"/>
  <c r="H290" i="13"/>
  <c r="H292" i="13" s="1"/>
  <c r="F18" i="7" s="1"/>
  <c r="H49" i="6"/>
  <c r="E18" i="7"/>
  <c r="H174" i="19"/>
  <c r="I12" i="6"/>
  <c r="H21" i="6"/>
  <c r="H42" i="6" s="1"/>
  <c r="H44" i="6" s="1"/>
  <c r="Q40" i="4"/>
  <c r="O52" i="4"/>
  <c r="J18" i="6"/>
  <c r="K9" i="6" s="1"/>
  <c r="Q64" i="4"/>
  <c r="G116" i="15"/>
  <c r="G118" i="15" s="1"/>
  <c r="E19" i="7"/>
  <c r="H50" i="6"/>
  <c r="F116" i="15"/>
  <c r="F118" i="15" s="1"/>
  <c r="D19" i="7"/>
  <c r="G50" i="6"/>
  <c r="F6" i="9"/>
  <c r="F132" i="10"/>
  <c r="H160" i="10"/>
  <c r="H175" i="10"/>
  <c r="H130" i="10"/>
  <c r="H37" i="10"/>
  <c r="H145" i="10"/>
  <c r="J9" i="6"/>
  <c r="F147" i="10"/>
  <c r="F177" i="10"/>
  <c r="H274" i="18"/>
  <c r="H276" i="18" s="1"/>
  <c r="F22" i="7"/>
  <c r="I47" i="6"/>
  <c r="H43" i="4"/>
  <c r="G68" i="4"/>
  <c r="F162" i="10"/>
  <c r="I49" i="4"/>
  <c r="G8" i="7"/>
  <c r="J36" i="6"/>
  <c r="G171" i="10"/>
  <c r="G126" i="10"/>
  <c r="G33" i="10"/>
  <c r="G156" i="10"/>
  <c r="G141" i="10"/>
  <c r="G170" i="10"/>
  <c r="G125" i="10"/>
  <c r="G32" i="10"/>
  <c r="G155" i="10"/>
  <c r="G140" i="10"/>
  <c r="F15" i="7"/>
  <c r="K39" i="6"/>
  <c r="H13" i="7"/>
  <c r="F39" i="10"/>
  <c r="G12" i="5"/>
  <c r="C13" i="5" s="1"/>
  <c r="K18" i="6"/>
  <c r="D22" i="10"/>
  <c r="C15" i="10"/>
  <c r="C83" i="10"/>
  <c r="C94" i="10"/>
  <c r="C71" i="10"/>
  <c r="E21" i="2"/>
  <c r="F186" i="19"/>
  <c r="F188" i="19" s="1"/>
  <c r="D23" i="7"/>
  <c r="G52" i="6"/>
  <c r="O51" i="4"/>
  <c r="H36" i="10"/>
  <c r="N45" i="4" l="1"/>
  <c r="N67" i="4" s="1"/>
  <c r="N46" i="4"/>
  <c r="J17" i="6"/>
  <c r="I175" i="19" s="1"/>
  <c r="I21" i="6"/>
  <c r="I42" i="6" s="1"/>
  <c r="I44" i="6" s="1"/>
  <c r="H177" i="19"/>
  <c r="H186" i="19" s="1"/>
  <c r="H188" i="19" s="1"/>
  <c r="H105" i="15"/>
  <c r="H107" i="15" s="1"/>
  <c r="H116" i="15" s="1"/>
  <c r="H118" i="15" s="1"/>
  <c r="J8" i="6"/>
  <c r="I174" i="19" s="1"/>
  <c r="I174" i="10"/>
  <c r="I274" i="18"/>
  <c r="I276" i="18" s="1"/>
  <c r="H52" i="6"/>
  <c r="H54" i="6" s="1"/>
  <c r="H55" i="6" s="1"/>
  <c r="F11" i="9" s="1"/>
  <c r="F27" i="9" s="1"/>
  <c r="F28" i="9" s="1"/>
  <c r="H129" i="10"/>
  <c r="H174" i="10"/>
  <c r="J37" i="6"/>
  <c r="J41" i="6" s="1"/>
  <c r="K36" i="6"/>
  <c r="K41" i="6" s="1"/>
  <c r="H144" i="10"/>
  <c r="H9" i="7"/>
  <c r="I126" i="10" s="1"/>
  <c r="I36" i="10"/>
  <c r="I159" i="10"/>
  <c r="G39" i="10"/>
  <c r="I129" i="10"/>
  <c r="E23" i="7"/>
  <c r="E25" i="7" s="1"/>
  <c r="F41" i="10" s="1"/>
  <c r="F43" i="10" s="1"/>
  <c r="F47" i="10" s="1"/>
  <c r="G162" i="10"/>
  <c r="J47" i="6"/>
  <c r="I49" i="6"/>
  <c r="D25" i="7"/>
  <c r="E41" i="10" s="1"/>
  <c r="E43" i="10" s="1"/>
  <c r="E47" i="10" s="1"/>
  <c r="H302" i="13"/>
  <c r="H305" i="13" s="1"/>
  <c r="C38" i="7"/>
  <c r="C40" i="7" s="1"/>
  <c r="C45" i="7" s="1"/>
  <c r="D150" i="10"/>
  <c r="D151" i="10" s="1"/>
  <c r="D152" i="10" s="1"/>
  <c r="D41" i="10"/>
  <c r="D43" i="10" s="1"/>
  <c r="D47" i="10" s="1"/>
  <c r="K8" i="6"/>
  <c r="J174" i="19" s="1"/>
  <c r="D27" i="9"/>
  <c r="D28" i="9" s="1"/>
  <c r="D22" i="9"/>
  <c r="D180" i="10"/>
  <c r="D181" i="10" s="1"/>
  <c r="D182" i="10" s="1"/>
  <c r="I290" i="13"/>
  <c r="I292" i="13" s="1"/>
  <c r="I302" i="13" s="1"/>
  <c r="I305" i="13" s="1"/>
  <c r="D135" i="10"/>
  <c r="D136" i="10" s="1"/>
  <c r="D137" i="10" s="1"/>
  <c r="G54" i="6"/>
  <c r="G55" i="6" s="1"/>
  <c r="E11" i="9" s="1"/>
  <c r="E27" i="9" s="1"/>
  <c r="E28" i="9" s="1"/>
  <c r="P49" i="4"/>
  <c r="J21" i="6"/>
  <c r="J42" i="6" s="1"/>
  <c r="C7" i="9"/>
  <c r="C12" i="9" s="1"/>
  <c r="B33" i="8"/>
  <c r="E22" i="2"/>
  <c r="H156" i="10"/>
  <c r="H171" i="10"/>
  <c r="H126" i="10"/>
  <c r="H33" i="10"/>
  <c r="H141" i="10"/>
  <c r="I160" i="10"/>
  <c r="I175" i="10"/>
  <c r="I145" i="10"/>
  <c r="I130" i="10"/>
  <c r="I37" i="10"/>
  <c r="G147" i="10"/>
  <c r="G177" i="10"/>
  <c r="I52" i="4"/>
  <c r="H155" i="10"/>
  <c r="H170" i="10"/>
  <c r="H125" i="10"/>
  <c r="H32" i="10"/>
  <c r="H140" i="10"/>
  <c r="G15" i="7"/>
  <c r="J274" i="18"/>
  <c r="J276" i="18" s="1"/>
  <c r="H22" i="7"/>
  <c r="K47" i="6"/>
  <c r="I155" i="10"/>
  <c r="I170" i="10"/>
  <c r="I140" i="10"/>
  <c r="I125" i="10"/>
  <c r="I32" i="10"/>
  <c r="J175" i="19"/>
  <c r="J105" i="15"/>
  <c r="H46" i="4"/>
  <c r="H65" i="4"/>
  <c r="G13" i="8" s="1"/>
  <c r="G15" i="8" s="1"/>
  <c r="K21" i="6"/>
  <c r="K42" i="6" s="1"/>
  <c r="D13" i="5"/>
  <c r="G6" i="9"/>
  <c r="G132" i="10"/>
  <c r="J292" i="13"/>
  <c r="O43" i="4" l="1"/>
  <c r="N68" i="4"/>
  <c r="I177" i="19"/>
  <c r="G23" i="7" s="1"/>
  <c r="I105" i="15"/>
  <c r="F19" i="7"/>
  <c r="F23" i="7"/>
  <c r="I52" i="6"/>
  <c r="I104" i="15"/>
  <c r="I50" i="6"/>
  <c r="J12" i="6"/>
  <c r="H15" i="7"/>
  <c r="I6" i="9" s="1"/>
  <c r="I33" i="10"/>
  <c r="I39" i="10" s="1"/>
  <c r="I141" i="10"/>
  <c r="I147" i="10" s="1"/>
  <c r="I156" i="10"/>
  <c r="I162" i="10" s="1"/>
  <c r="I171" i="10"/>
  <c r="I177" i="10" s="1"/>
  <c r="H39" i="10"/>
  <c r="D38" i="7"/>
  <c r="D40" i="7" s="1"/>
  <c r="D45" i="7" s="1"/>
  <c r="J44" i="6"/>
  <c r="E135" i="10"/>
  <c r="E136" i="10" s="1"/>
  <c r="E137" i="10" s="1"/>
  <c r="E180" i="10"/>
  <c r="E181" i="10" s="1"/>
  <c r="E182" i="10" s="1"/>
  <c r="H177" i="10"/>
  <c r="E150" i="10"/>
  <c r="E151" i="10" s="1"/>
  <c r="E152" i="10" s="1"/>
  <c r="K44" i="6"/>
  <c r="E165" i="10"/>
  <c r="E166" i="10" s="1"/>
  <c r="E167" i="10" s="1"/>
  <c r="H147" i="10"/>
  <c r="H162" i="10"/>
  <c r="H132" i="10"/>
  <c r="E22" i="9"/>
  <c r="D109" i="10"/>
  <c r="J104" i="15"/>
  <c r="J107" i="15" s="1"/>
  <c r="J116" i="15" s="1"/>
  <c r="J118" i="15" s="1"/>
  <c r="K12" i="6"/>
  <c r="J177" i="19"/>
  <c r="K52" i="6" s="1"/>
  <c r="J49" i="6"/>
  <c r="G18" i="7"/>
  <c r="P50" i="4"/>
  <c r="F165" i="10"/>
  <c r="F166" i="10" s="1"/>
  <c r="F167" i="10" s="1"/>
  <c r="E12" i="9"/>
  <c r="F12" i="9"/>
  <c r="E38" i="7"/>
  <c r="E40" i="7" s="1"/>
  <c r="F109" i="10" s="1"/>
  <c r="F135" i="10"/>
  <c r="F136" i="10" s="1"/>
  <c r="F137" i="10" s="1"/>
  <c r="F150" i="10"/>
  <c r="F151" i="10" s="1"/>
  <c r="F152" i="10" s="1"/>
  <c r="F22" i="9"/>
  <c r="F180" i="10"/>
  <c r="F181" i="10" s="1"/>
  <c r="F182" i="10" s="1"/>
  <c r="F13" i="5"/>
  <c r="E13" i="5" s="1"/>
  <c r="I43" i="4"/>
  <c r="H68" i="4"/>
  <c r="H6" i="9"/>
  <c r="C33" i="8"/>
  <c r="J302" i="13"/>
  <c r="J305" i="13" s="1"/>
  <c r="H18" i="7"/>
  <c r="K49" i="6"/>
  <c r="I132" i="10"/>
  <c r="I186" i="19" l="1"/>
  <c r="I188" i="19" s="1"/>
  <c r="I107" i="15"/>
  <c r="G19" i="7" s="1"/>
  <c r="G25" i="7" s="1"/>
  <c r="H165" i="10" s="1"/>
  <c r="H166" i="10" s="1"/>
  <c r="H167" i="10" s="1"/>
  <c r="O44" i="4"/>
  <c r="O46" i="4" s="1"/>
  <c r="O65" i="4"/>
  <c r="J52" i="6"/>
  <c r="I54" i="6"/>
  <c r="I55" i="6" s="1"/>
  <c r="G11" i="9" s="1"/>
  <c r="G27" i="9" s="1"/>
  <c r="G28" i="9" s="1"/>
  <c r="F25" i="7"/>
  <c r="G135" i="10" s="1"/>
  <c r="G136" i="10" s="1"/>
  <c r="G137" i="10" s="1"/>
  <c r="E109" i="10"/>
  <c r="J186" i="19"/>
  <c r="J188" i="19" s="1"/>
  <c r="H23" i="7"/>
  <c r="P51" i="4"/>
  <c r="H19" i="7"/>
  <c r="P52" i="4"/>
  <c r="K50" i="6"/>
  <c r="K54" i="6" s="1"/>
  <c r="K55" i="6" s="1"/>
  <c r="I11" i="9" s="1"/>
  <c r="I27" i="9" s="1"/>
  <c r="I28" i="9" s="1"/>
  <c r="E45" i="7"/>
  <c r="D33" i="8"/>
  <c r="I46" i="4"/>
  <c r="I68" i="4" s="1"/>
  <c r="I65" i="4"/>
  <c r="H13" i="8" s="1"/>
  <c r="H15" i="8" s="1"/>
  <c r="G13" i="5"/>
  <c r="C14" i="5" s="1"/>
  <c r="J50" i="6" l="1"/>
  <c r="J54" i="6" s="1"/>
  <c r="J55" i="6" s="1"/>
  <c r="H11" i="9" s="1"/>
  <c r="I116" i="15"/>
  <c r="I118" i="15" s="1"/>
  <c r="P43" i="4"/>
  <c r="O68" i="4"/>
  <c r="O45" i="4"/>
  <c r="O66" i="4"/>
  <c r="F97" i="4" s="1"/>
  <c r="G12" i="9"/>
  <c r="G41" i="10"/>
  <c r="G43" i="10" s="1"/>
  <c r="G47" i="10" s="1"/>
  <c r="G22" i="9"/>
  <c r="G165" i="10"/>
  <c r="G166" i="10" s="1"/>
  <c r="G167" i="10" s="1"/>
  <c r="G180" i="10"/>
  <c r="G181" i="10" s="1"/>
  <c r="G182" i="10" s="1"/>
  <c r="F38" i="7"/>
  <c r="F40" i="7" s="1"/>
  <c r="F45" i="7" s="1"/>
  <c r="G150" i="10"/>
  <c r="G151" i="10" s="1"/>
  <c r="G152" i="10" s="1"/>
  <c r="H25" i="7"/>
  <c r="I41" i="10" s="1"/>
  <c r="I43" i="10" s="1"/>
  <c r="I47" i="10" s="1"/>
  <c r="Q49" i="4"/>
  <c r="Q50" i="4" s="1"/>
  <c r="Q52" i="4" s="1"/>
  <c r="H41" i="10"/>
  <c r="H43" i="10" s="1"/>
  <c r="H47" i="10" s="1"/>
  <c r="I12" i="9"/>
  <c r="H150" i="10"/>
  <c r="H151" i="10" s="1"/>
  <c r="H152" i="10" s="1"/>
  <c r="H22" i="9"/>
  <c r="G38" i="7"/>
  <c r="G40" i="7" s="1"/>
  <c r="G45" i="7" s="1"/>
  <c r="H180" i="10"/>
  <c r="H181" i="10" s="1"/>
  <c r="H182" i="10" s="1"/>
  <c r="H135" i="10"/>
  <c r="H136" i="10" s="1"/>
  <c r="H137" i="10" s="1"/>
  <c r="Q51" i="4"/>
  <c r="E33" i="8"/>
  <c r="D14" i="5"/>
  <c r="H27" i="9" l="1"/>
  <c r="H28" i="9" s="1"/>
  <c r="H12" i="9"/>
  <c r="P44" i="4"/>
  <c r="P45" i="4" s="1"/>
  <c r="P65" i="4"/>
  <c r="O67" i="4"/>
  <c r="G109" i="10"/>
  <c r="C49" i="10"/>
  <c r="D28" i="2" s="1"/>
  <c r="I135" i="10"/>
  <c r="I136" i="10" s="1"/>
  <c r="I137" i="10" s="1"/>
  <c r="I165" i="10"/>
  <c r="I166" i="10" s="1"/>
  <c r="I167" i="10" s="1"/>
  <c r="H38" i="7"/>
  <c r="H40" i="7" s="1"/>
  <c r="H45" i="7" s="1"/>
  <c r="I22" i="9"/>
  <c r="I180" i="10"/>
  <c r="I181" i="10" s="1"/>
  <c r="I182" i="10" s="1"/>
  <c r="I150" i="10"/>
  <c r="I151" i="10" s="1"/>
  <c r="I152" i="10" s="1"/>
  <c r="H109" i="10"/>
  <c r="F14" i="5"/>
  <c r="E14" i="5" s="1"/>
  <c r="F33" i="8"/>
  <c r="P67" i="4" l="1"/>
  <c r="P46" i="4"/>
  <c r="P66" i="4"/>
  <c r="G97" i="4" s="1"/>
  <c r="I109" i="10"/>
  <c r="G14" i="5"/>
  <c r="C15" i="5" s="1"/>
  <c r="G33" i="8"/>
  <c r="Q43" i="4" l="1"/>
  <c r="P68" i="4"/>
  <c r="D15" i="5"/>
  <c r="F15" i="5" s="1"/>
  <c r="E15" i="5" s="1"/>
  <c r="G15" i="5" s="1"/>
  <c r="C16" i="5" s="1"/>
  <c r="H33" i="8"/>
  <c r="Q44" i="4" l="1"/>
  <c r="Q65" i="4"/>
  <c r="D16" i="5"/>
  <c r="E16" i="5" s="1"/>
  <c r="G16" i="5" s="1"/>
  <c r="C17" i="5" s="1"/>
  <c r="Q46" i="4" l="1"/>
  <c r="Q68" i="4" s="1"/>
  <c r="Q66" i="4"/>
  <c r="H97" i="4" s="1"/>
  <c r="Q45" i="4"/>
  <c r="Q67" i="4" s="1"/>
  <c r="D17" i="5"/>
  <c r="E17" i="5" s="1"/>
  <c r="G17" i="5" s="1"/>
  <c r="C18" i="5" s="1"/>
  <c r="D18" i="5" l="1"/>
  <c r="E18" i="5" s="1"/>
  <c r="G18" i="5" s="1"/>
  <c r="C19" i="5" s="1"/>
  <c r="D19" i="5" l="1"/>
  <c r="E19" i="5" s="1"/>
  <c r="G19" i="5" s="1"/>
  <c r="C20" i="5" s="1"/>
  <c r="D20" i="5" l="1"/>
  <c r="E20" i="5" s="1"/>
  <c r="G20" i="5" s="1"/>
  <c r="C21" i="5" s="1"/>
  <c r="D21" i="5" l="1"/>
  <c r="E21" i="5" l="1"/>
  <c r="C26" i="9"/>
  <c r="C112" i="10" l="1"/>
  <c r="C113" i="10" s="1"/>
  <c r="B47" i="7"/>
  <c r="B49" i="7" s="1"/>
  <c r="C25" i="9"/>
  <c r="G21" i="5"/>
  <c r="B28" i="8" l="1"/>
  <c r="B31" i="8" s="1"/>
  <c r="C22" i="5"/>
  <c r="C115" i="10"/>
  <c r="C117" i="10" s="1"/>
  <c r="J40" i="7"/>
  <c r="J42" i="7" s="1"/>
  <c r="B95" i="4"/>
  <c r="B98" i="4" s="1"/>
  <c r="B99" i="4" s="1"/>
  <c r="B50" i="7" s="1"/>
  <c r="C29" i="9" s="1"/>
  <c r="C30" i="9" s="1"/>
  <c r="C31" i="9" s="1"/>
  <c r="C33" i="9" s="1"/>
  <c r="D32" i="9" l="1"/>
  <c r="B8" i="8"/>
  <c r="B11" i="8" s="1"/>
  <c r="B20" i="8" s="1"/>
  <c r="B51" i="7"/>
  <c r="D22" i="5"/>
  <c r="E22" i="5" l="1"/>
  <c r="D9" i="10"/>
  <c r="D14" i="10" s="1"/>
  <c r="D95" i="10"/>
  <c r="D98" i="10" s="1"/>
  <c r="D99" i="10" s="1"/>
  <c r="C80" i="10"/>
  <c r="C58" i="10"/>
  <c r="C63" i="10" s="1"/>
  <c r="C67" i="10" s="1"/>
  <c r="B53" i="7"/>
  <c r="B37" i="8" l="1"/>
  <c r="B39" i="8" s="1"/>
  <c r="G22" i="5"/>
  <c r="C23" i="5" s="1"/>
  <c r="D15" i="10"/>
  <c r="D23" i="5" l="1"/>
  <c r="C36" i="8"/>
  <c r="B41" i="8"/>
  <c r="B43" i="8" s="1"/>
  <c r="B46" i="8" s="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D112" i="10" l="1"/>
  <c r="D113" i="10" s="1"/>
  <c r="C47" i="7"/>
  <c r="C49" i="7" s="1"/>
  <c r="D25" i="9"/>
  <c r="G33" i="5"/>
  <c r="C28" i="8" l="1"/>
  <c r="C31" i="8" s="1"/>
  <c r="C34" i="5"/>
  <c r="C95" i="4"/>
  <c r="C98" i="4" s="1"/>
  <c r="C99" i="4" s="1"/>
  <c r="C50" i="7" s="1"/>
  <c r="D29" i="9" s="1"/>
  <c r="D30" i="9" s="1"/>
  <c r="D31" i="9" s="1"/>
  <c r="D33" i="9" s="1"/>
  <c r="D115" i="10"/>
  <c r="D117" i="10" s="1"/>
  <c r="E32" i="9" l="1"/>
  <c r="C8" i="8"/>
  <c r="C11" i="8" s="1"/>
  <c r="C20" i="8" s="1"/>
  <c r="C51" i="7"/>
  <c r="D34" i="5"/>
  <c r="E34" i="5" l="1"/>
  <c r="E95" i="10"/>
  <c r="E98" i="10" s="1"/>
  <c r="E99" i="10" s="1"/>
  <c r="D80" i="10"/>
  <c r="D58" i="10"/>
  <c r="D63" i="10" s="1"/>
  <c r="D67" i="10" s="1"/>
  <c r="E9" i="10"/>
  <c r="E14" i="10" s="1"/>
  <c r="C37" i="8"/>
  <c r="C39" i="8" s="1"/>
  <c r="C53" i="7"/>
  <c r="D36" i="8" l="1"/>
  <c r="C41" i="8"/>
  <c r="C43" i="8" s="1"/>
  <c r="C46" i="8" s="1"/>
  <c r="E15" i="10"/>
  <c r="G34" i="5"/>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E112" i="10" l="1"/>
  <c r="E113" i="10" s="1"/>
  <c r="D47" i="7"/>
  <c r="D49" i="7" s="1"/>
  <c r="E25" i="9"/>
  <c r="G45" i="5"/>
  <c r="C46" i="5" l="1"/>
  <c r="D28" i="8"/>
  <c r="D31" i="8" s="1"/>
  <c r="E115" i="10"/>
  <c r="E117" i="10" s="1"/>
  <c r="D95" i="4"/>
  <c r="D98" i="4" s="1"/>
  <c r="D99" i="4" s="1"/>
  <c r="D50" i="7" s="1"/>
  <c r="E29" i="9" s="1"/>
  <c r="E30" i="9" s="1"/>
  <c r="E31" i="9" s="1"/>
  <c r="E33" i="9" s="1"/>
  <c r="F32" i="9" l="1"/>
  <c r="D8" i="8"/>
  <c r="D11" i="8" s="1"/>
  <c r="D20" i="8" s="1"/>
  <c r="D51" i="7"/>
  <c r="D46" i="5"/>
  <c r="E58" i="10" l="1"/>
  <c r="E63" i="10" s="1"/>
  <c r="E67" i="10" s="1"/>
  <c r="F95" i="10"/>
  <c r="F98" i="10" s="1"/>
  <c r="F99" i="10" s="1"/>
  <c r="E80" i="10"/>
  <c r="F9" i="10"/>
  <c r="F14" i="10" s="1"/>
  <c r="D37" i="8"/>
  <c r="D39" i="8" s="1"/>
  <c r="D53" i="7"/>
  <c r="E46" i="5"/>
  <c r="E36" i="8" l="1"/>
  <c r="D41" i="8"/>
  <c r="D43" i="8" s="1"/>
  <c r="D46" i="8" s="1"/>
  <c r="G46" i="5"/>
  <c r="C47" i="5" s="1"/>
  <c r="F15" i="10"/>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F112" i="10" l="1"/>
  <c r="F113" i="10" s="1"/>
  <c r="E47" i="7"/>
  <c r="E49" i="7" s="1"/>
  <c r="F25" i="9"/>
  <c r="G57" i="5"/>
  <c r="E28" i="8" l="1"/>
  <c r="E31" i="8" s="1"/>
  <c r="C58" i="5"/>
  <c r="F115" i="10"/>
  <c r="F117" i="10" s="1"/>
  <c r="E95" i="4"/>
  <c r="E98" i="4" s="1"/>
  <c r="E99" i="4" s="1"/>
  <c r="E50" i="7" s="1"/>
  <c r="F29" i="9" s="1"/>
  <c r="F30" i="9" s="1"/>
  <c r="F31" i="9" s="1"/>
  <c r="F33" i="9" s="1"/>
  <c r="E8" i="8" l="1"/>
  <c r="E11" i="8" s="1"/>
  <c r="E20" i="8" s="1"/>
  <c r="G32" i="9"/>
  <c r="D58" i="5"/>
  <c r="E51" i="7"/>
  <c r="E58" i="5" l="1"/>
  <c r="G9" i="10"/>
  <c r="G14" i="10" s="1"/>
  <c r="G95" i="10"/>
  <c r="G98" i="10" s="1"/>
  <c r="G99" i="10" s="1"/>
  <c r="F80" i="10"/>
  <c r="F58" i="10"/>
  <c r="F63" i="10" s="1"/>
  <c r="F67" i="10" s="1"/>
  <c r="E37" i="8"/>
  <c r="E39" i="8" s="1"/>
  <c r="E53" i="7"/>
  <c r="G15" i="10" l="1"/>
  <c r="G58" i="5"/>
  <c r="C59" i="5" s="1"/>
  <c r="F36" i="8"/>
  <c r="E41" i="8"/>
  <c r="E43" i="8" s="1"/>
  <c r="E46" i="8"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G112" i="10" l="1"/>
  <c r="G113" i="10" s="1"/>
  <c r="F47" i="7"/>
  <c r="F49" i="7" s="1"/>
  <c r="G25" i="9"/>
  <c r="G69" i="5"/>
  <c r="F28" i="8" l="1"/>
  <c r="F31" i="8" s="1"/>
  <c r="C70" i="5"/>
  <c r="G115" i="10"/>
  <c r="G117" i="10" s="1"/>
  <c r="F95" i="4"/>
  <c r="F98" i="4" s="1"/>
  <c r="F99" i="4" s="1"/>
  <c r="F50" i="7" s="1"/>
  <c r="G29" i="9" s="1"/>
  <c r="G30" i="9" s="1"/>
  <c r="G31" i="9" s="1"/>
  <c r="G33" i="9" s="1"/>
  <c r="H32" i="9" l="1"/>
  <c r="F8" i="8"/>
  <c r="F11" i="8" s="1"/>
  <c r="F20" i="8" s="1"/>
  <c r="D70" i="5"/>
  <c r="F51" i="7"/>
  <c r="E70" i="5" l="1"/>
  <c r="H9" i="10"/>
  <c r="H14" i="10" s="1"/>
  <c r="H95" i="10"/>
  <c r="H98" i="10" s="1"/>
  <c r="G80" i="10"/>
  <c r="G58" i="10"/>
  <c r="G63" i="10" s="1"/>
  <c r="G67" i="10" s="1"/>
  <c r="F37" i="8"/>
  <c r="F39" i="8" s="1"/>
  <c r="F53" i="7"/>
  <c r="D101" i="10" l="1"/>
  <c r="D32" i="2" s="1"/>
  <c r="H99" i="10"/>
  <c r="H15" i="10"/>
  <c r="G70" i="5"/>
  <c r="C71" i="5" s="1"/>
  <c r="G36" i="8"/>
  <c r="F41" i="8"/>
  <c r="F43" i="8" s="1"/>
  <c r="F46" i="8"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6" i="9"/>
  <c r="H112" i="10" l="1"/>
  <c r="H113" i="10" s="1"/>
  <c r="G47" i="7"/>
  <c r="G49" i="7" s="1"/>
  <c r="H25" i="9"/>
  <c r="G81" i="5"/>
  <c r="G28" i="8" l="1"/>
  <c r="G31" i="8" s="1"/>
  <c r="C82" i="5"/>
  <c r="H115" i="10"/>
  <c r="H117" i="10" s="1"/>
  <c r="G95" i="4"/>
  <c r="G98" i="4" s="1"/>
  <c r="G99" i="4" s="1"/>
  <c r="G50" i="7" s="1"/>
  <c r="H29" i="9" s="1"/>
  <c r="H30" i="9" s="1"/>
  <c r="H31" i="9" s="1"/>
  <c r="H33" i="9" s="1"/>
  <c r="I32" i="9" l="1"/>
  <c r="G8" i="8"/>
  <c r="G11" i="8" s="1"/>
  <c r="G20" i="8" s="1"/>
  <c r="D82" i="5"/>
  <c r="G51" i="7"/>
  <c r="E82" i="5" l="1"/>
  <c r="I95" i="10"/>
  <c r="I98" i="10" s="1"/>
  <c r="H80" i="10"/>
  <c r="H58" i="10"/>
  <c r="H63" i="10" s="1"/>
  <c r="H67" i="10" s="1"/>
  <c r="I9" i="10"/>
  <c r="I14" i="10" s="1"/>
  <c r="G37" i="8"/>
  <c r="G39" i="8" s="1"/>
  <c r="G53" i="7"/>
  <c r="I15" i="10" l="1"/>
  <c r="G82" i="5"/>
  <c r="C83" i="5" s="1"/>
  <c r="H36" i="8"/>
  <c r="G41" i="8"/>
  <c r="G43" i="8" s="1"/>
  <c r="G46" i="8" s="1"/>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6" i="9"/>
  <c r="I112" i="10" l="1"/>
  <c r="I113" i="10" s="1"/>
  <c r="H47" i="7"/>
  <c r="H49" i="7" s="1"/>
  <c r="E94" i="5"/>
  <c r="I25" i="9"/>
  <c r="G93" i="5"/>
  <c r="I115" i="10" l="1"/>
  <c r="I117" i="10" s="1"/>
  <c r="C119" i="10" s="1"/>
  <c r="D33" i="2" s="1"/>
  <c r="H95" i="4"/>
  <c r="H98" i="4" s="1"/>
  <c r="H99" i="4" s="1"/>
  <c r="H50" i="7" s="1"/>
  <c r="I29" i="9" s="1"/>
  <c r="I30" i="9" s="1"/>
  <c r="I31" i="9" s="1"/>
  <c r="I33" i="9" s="1"/>
  <c r="H8" i="8" s="1"/>
  <c r="H11" i="8" s="1"/>
  <c r="H20" i="8" s="1"/>
  <c r="H51" i="7" l="1"/>
  <c r="I58" i="10" l="1"/>
  <c r="I63" i="10" s="1"/>
  <c r="I67" i="10" s="1"/>
  <c r="C69" i="10" s="1"/>
  <c r="C73" i="10" s="1"/>
  <c r="D31" i="2" s="1"/>
  <c r="J95" i="10"/>
  <c r="J98" i="10" s="1"/>
  <c r="I80" i="10"/>
  <c r="C82" i="10" s="1"/>
  <c r="C85" i="10" s="1"/>
  <c r="D29" i="2" s="1"/>
  <c r="H37" i="8"/>
  <c r="H39" i="8" s="1"/>
  <c r="H41" i="8" s="1"/>
  <c r="H43" i="8" s="1"/>
  <c r="H46" i="8" s="1"/>
  <c r="J9" i="10"/>
  <c r="J14" i="10" s="1"/>
  <c r="H53" i="7"/>
  <c r="J15" i="10" l="1"/>
  <c r="C16" i="10" s="1"/>
  <c r="D30" i="2" s="1"/>
  <c r="D18" i="10" l="1"/>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<sst xmlns="http://schemas.openxmlformats.org/spreadsheetml/2006/main" count="1470" uniqueCount="778">
  <si>
    <t>Note for users</t>
  </si>
  <si>
    <t xml:space="preserve">Draft Business Plan Financial Calculator </t>
  </si>
  <si>
    <t xml:space="preserve">1.0 About the calculator </t>
  </si>
  <si>
    <r>
      <rPr>
        <sz val="11"/>
        <color rgb="FF000000"/>
        <rFont val="Calibri"/>
      </rP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color rgb="FF000000"/>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</si>
  <si>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2.0 Features </t>
  </si>
  <si>
    <r>
      <rPr>
        <sz val="11"/>
        <color rgb="FF000000"/>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</si>
  <si>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</si>
  <si>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</si>
  <si>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</si>
  <si>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</si>
  <si>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</si>
  <si>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</si>
  <si>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</si>
  <si>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</si>
  <si>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</si>
  <si>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</si>
  <si>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</si>
  <si>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</si>
  <si>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</si>
  <si>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</si>
  <si>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</si>
  <si>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</si>
  <si>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</si>
  <si>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</si>
  <si>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</si>
  <si>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</si>
  <si>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</si>
  <si>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</si>
  <si>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</si>
  <si>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</si>
  <si>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</si>
  <si>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</si>
  <si>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</si>
  <si>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</si>
  <si>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</si>
  <si>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</si>
  <si>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</si>
  <si>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</si>
  <si>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</si>
  <si>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</si>
  <si>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</si>
  <si>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</si>
  <si>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</si>
  <si>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</si>
  <si>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</si>
  <si>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</si>
  <si>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</si>
  <si>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</si>
  <si>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</si>
  <si>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</si>
  <si>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</si>
  <si>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</si>
  <si>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</si>
  <si>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</si>
  <si>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</si>
  <si>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</si>
  <si>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</si>
  <si>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</si>
  <si>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</si>
  <si>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</si>
  <si>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</si>
  <si>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</si>
  <si>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</si>
  <si>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</si>
  <si>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</si>
  <si>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</si>
  <si>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</si>
  <si>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</si>
  <si>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</si>
  <si>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</si>
  <si>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</si>
  <si>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</si>
  <si>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</si>
  <si>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</si>
  <si>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</si>
  <si>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</si>
  <si>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</si>
  <si>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</si>
  <si>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</si>
  <si>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</si>
  <si>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</si>
  <si>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</si>
  <si>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</si>
  <si>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</si>
  <si>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</si>
  <si>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</si>
  <si>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</si>
  <si>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</si>
  <si>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</si>
  <si>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</si>
  <si>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</si>
  <si>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</si>
  <si>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</si>
  <si>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</si>
  <si>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</si>
  <si>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</si>
  <si>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</si>
  <si>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</si>
  <si>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</si>
  <si>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</si>
  <si>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</si>
  <si>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</si>
  <si>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</si>
  <si>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</si>
  <si>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</si>
  <si>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</si>
  <si>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</si>
  <si>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</si>
  <si>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</si>
  <si>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</si>
  <si>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</si>
  <si>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</si>
  <si>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</si>
  <si>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</si>
  <si>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</si>
  <si>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</si>
  <si>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</si>
  <si>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</si>
  <si>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</si>
  <si>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</si>
  <si>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</si>
  <si>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</si>
  <si>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</si>
  <si>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</si>
  <si>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</si>
  <si>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</si>
  <si>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</si>
  <si>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</si>
  <si>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This Sheet provide details of land and various construction, including area, rate per unit and total amount</t>
  </si>
  <si>
    <t>Machinery and Equipment</t>
  </si>
  <si>
    <t>Capacity</t>
  </si>
  <si>
    <t>No. Required</t>
  </si>
  <si>
    <t>Rate</t>
  </si>
  <si>
    <t>Total HP</t>
  </si>
  <si>
    <t>Custom Hiring</t>
  </si>
  <si>
    <t>Subtotal</t>
  </si>
  <si>
    <t>C</t>
  </si>
  <si>
    <t>Cleaning &amp; Grading</t>
  </si>
  <si>
    <t>D</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</si>
  <si>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</si>
  <si>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</si>
  <si>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</si>
  <si>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</si>
  <si>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</si>
  <si>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</si>
  <si>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</si>
  <si>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</si>
  <si>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</si>
  <si>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</si>
  <si>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</si>
  <si>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</si>
  <si>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</si>
  <si>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</si>
  <si>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</si>
  <si>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</si>
  <si>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</si>
  <si>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</si>
  <si>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</si>
  <si>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</si>
  <si>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</si>
  <si>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</si>
  <si>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</si>
  <si>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</si>
  <si>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</si>
  <si>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</si>
  <si>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</si>
  <si>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</si>
  <si>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</si>
  <si>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</si>
  <si>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</si>
  <si>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</si>
  <si>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</si>
  <si>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</si>
  <si>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</si>
  <si>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</si>
  <si>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</si>
  <si>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</si>
  <si>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</si>
  <si>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</si>
  <si>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</si>
  <si>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</si>
  <si>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</si>
  <si>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</si>
  <si>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</si>
  <si>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</si>
  <si>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</si>
  <si>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</si>
  <si>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</si>
  <si>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</si>
  <si>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</si>
  <si>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</si>
  <si>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</si>
  <si>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</si>
  <si>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</si>
  <si>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</si>
  <si>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</si>
  <si>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</si>
  <si>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</si>
  <si>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</si>
  <si>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</si>
  <si>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</si>
  <si>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</si>
  <si>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</si>
  <si>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</si>
  <si>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</si>
  <si>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</si>
  <si>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</si>
  <si>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</si>
  <si>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</si>
  <si>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</si>
  <si>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</si>
  <si>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</si>
  <si>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</si>
  <si>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</si>
  <si>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</si>
  <si>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</si>
  <si>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</si>
  <si>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</si>
  <si>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</si>
  <si>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</si>
  <si>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</si>
  <si>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</si>
  <si>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</si>
  <si>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</si>
  <si>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</si>
  <si>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</si>
  <si>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</si>
  <si>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</si>
  <si>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</si>
  <si>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</si>
  <si>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</si>
  <si>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</si>
  <si>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</si>
  <si>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</si>
  <si>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</si>
  <si>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</si>
  <si>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</si>
  <si>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</si>
  <si>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</si>
  <si>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</si>
  <si>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</si>
  <si>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</si>
  <si>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</si>
  <si>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</si>
  <si>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</si>
  <si>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</si>
  <si>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</si>
  <si>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</si>
  <si>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</si>
  <si>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</si>
  <si>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</si>
  <si>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</si>
  <si>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</si>
  <si>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</si>
  <si>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</si>
  <si>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</si>
  <si>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</si>
  <si>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</si>
  <si>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</si>
  <si>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</si>
  <si>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</si>
  <si>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</si>
  <si>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</si>
  <si>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</si>
  <si>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</si>
  <si>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</si>
  <si>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</si>
  <si>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</si>
  <si>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</si>
  <si>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</si>
  <si>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</si>
  <si>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</si>
  <si>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</si>
  <si>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</si>
  <si>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</si>
  <si>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</si>
  <si>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</si>
  <si>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</si>
  <si>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</si>
  <si>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</si>
  <si>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</si>
  <si>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</si>
  <si>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</si>
  <si>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</si>
  <si>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</si>
  <si>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</si>
  <si>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</si>
  <si>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</si>
  <si>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</si>
  <si>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</si>
  <si>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</si>
  <si>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</si>
  <si>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</si>
  <si>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</si>
  <si>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</si>
  <si>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</si>
  <si>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</si>
  <si>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</si>
  <si>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</si>
  <si>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</si>
  <si>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</si>
  <si>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</si>
  <si>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</si>
  <si>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</si>
  <si>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</si>
  <si>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</si>
  <si>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</si>
  <si>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</si>
  <si>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</si>
  <si>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</si>
  <si>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</si>
  <si>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</si>
  <si>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</si>
  <si>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</si>
  <si>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</si>
  <si>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</si>
  <si>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</si>
  <si>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</si>
  <si>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</si>
  <si>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</si>
  <si>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</si>
  <si>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</si>
  <si>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</si>
  <si>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</si>
  <si>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</si>
  <si>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</si>
  <si>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</si>
  <si>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</si>
  <si>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</si>
  <si>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</si>
  <si>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</si>
  <si>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</si>
  <si>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</si>
  <si>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</si>
  <si>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</si>
  <si>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</si>
  <si>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</si>
  <si>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</si>
  <si>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</si>
  <si>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</si>
  <si>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</si>
  <si>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</si>
  <si>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</si>
  <si>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</si>
  <si>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</si>
  <si>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</si>
  <si>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</si>
  <si>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</si>
  <si>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</si>
  <si>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</si>
  <si>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</si>
  <si>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</si>
  <si>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</si>
  <si>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</si>
  <si>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</si>
  <si>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</si>
  <si>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</si>
  <si>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</si>
  <si>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</si>
  <si>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</si>
  <si>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</si>
  <si>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</si>
  <si>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</si>
  <si>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</si>
  <si>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</si>
  <si>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</si>
  <si>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</si>
  <si>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</si>
  <si>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</si>
  <si>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</si>
  <si>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</si>
  <si>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</si>
  <si>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</si>
  <si>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</si>
  <si>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</si>
  <si>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</si>
  <si>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</si>
  <si>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</si>
  <si>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</si>
  <si>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</si>
  <si>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</si>
  <si>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</si>
  <si>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</si>
  <si>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</si>
  <si>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</si>
  <si>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</si>
  <si>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</si>
  <si>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</si>
  <si>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</si>
  <si>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</si>
  <si>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</si>
  <si>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</si>
  <si>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</si>
  <si>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</si>
  <si>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</si>
  <si>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</si>
  <si>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</si>
  <si>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</si>
  <si>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</si>
  <si>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</si>
  <si>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</si>
  <si>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</si>
  <si>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</si>
  <si>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</si>
  <si>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</si>
  <si>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</si>
  <si>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</si>
  <si>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</si>
  <si>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</si>
  <si>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</si>
  <si>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</si>
  <si>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</si>
  <si>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</si>
  <si>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</si>
  <si>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</si>
  <si>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</si>
  <si>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</si>
  <si>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</si>
  <si>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</si>
  <si>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</si>
  <si>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</si>
  <si>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</si>
  <si>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</si>
  <si>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</si>
  <si>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</si>
  <si>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</si>
  <si>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</si>
  <si>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</si>
  <si>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</si>
  <si>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</si>
  <si>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</si>
  <si>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</si>
  <si>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</si>
  <si>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</si>
  <si>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</si>
  <si>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</si>
  <si>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</si>
  <si>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</si>
  <si>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</si>
  <si>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</si>
  <si>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</si>
  <si>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</si>
  <si>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</si>
  <si>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</si>
  <si>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</si>
  <si>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</si>
  <si>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</si>
  <si>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</si>
  <si>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</si>
  <si>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</si>
  <si>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</si>
  <si>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</si>
  <si>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</si>
  <si>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</si>
  <si>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</si>
  <si>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</si>
  <si>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</si>
  <si>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</si>
  <si>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</si>
  <si>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</si>
  <si>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</si>
  <si>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</si>
  <si>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</si>
  <si>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</si>
  <si>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</si>
  <si>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</si>
  <si>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</si>
  <si>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</si>
  <si>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</si>
  <si>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</si>
  <si>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</si>
  <si>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</si>
  <si>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</si>
  <si>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</si>
  <si>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</si>
  <si>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</si>
  <si>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</si>
  <si>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</si>
  <si>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</si>
  <si>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</si>
  <si>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</si>
  <si>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</si>
  <si>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</si>
  <si>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</si>
  <si>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</si>
  <si>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</si>
  <si>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</si>
  <si>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</si>
  <si>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</si>
  <si>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</si>
  <si>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</si>
  <si>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</si>
  <si>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</si>
  <si>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</si>
  <si>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</si>
  <si>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</si>
  <si>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</si>
  <si>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</si>
  <si>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</si>
  <si>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</si>
  <si>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</si>
  <si>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</si>
  <si>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</si>
  <si>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</si>
  <si>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</si>
  <si>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</si>
  <si>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</si>
  <si>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</si>
  <si>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</si>
  <si>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</si>
  <si>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</si>
  <si>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</si>
  <si>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</si>
  <si>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</si>
  <si>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</si>
  <si>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</si>
  <si>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</si>
  <si>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</si>
  <si>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</si>
  <si>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</si>
  <si>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</si>
  <si>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</si>
  <si>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</si>
  <si>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</si>
  <si>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</si>
  <si>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</si>
  <si>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</si>
  <si>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</si>
  <si>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</si>
  <si>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</si>
  <si>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</si>
  <si>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</si>
  <si>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</si>
  <si>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</si>
  <si>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</si>
  <si>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</si>
  <si>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</si>
  <si>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</si>
  <si>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</si>
  <si>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</si>
  <si>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</si>
  <si>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</si>
  <si>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</si>
  <si>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</si>
  <si>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</si>
  <si>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</si>
  <si>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</si>
  <si>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</si>
  <si>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</si>
  <si>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</si>
  <si>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</si>
  <si>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</si>
  <si>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</si>
  <si>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</si>
  <si>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</si>
  <si>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</si>
  <si>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</si>
  <si>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</si>
  <si>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</si>
  <si>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</si>
  <si>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</si>
  <si>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</si>
  <si>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</si>
  <si>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</si>
  <si>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</si>
  <si>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</si>
  <si>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</si>
  <si>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</si>
  <si>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</si>
  <si>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</si>
  <si>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</si>
  <si>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</si>
  <si>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</si>
  <si>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</si>
  <si>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</si>
  <si>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</si>
  <si>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</si>
  <si>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</si>
  <si>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</si>
  <si>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</si>
  <si>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</si>
  <si>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</si>
  <si>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</si>
  <si>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</si>
  <si>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</si>
  <si>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</si>
  <si>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</si>
  <si>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</si>
  <si>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</si>
  <si>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</si>
  <si>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</si>
  <si>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</si>
  <si>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</si>
  <si>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</si>
  <si>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</si>
  <si>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</si>
  <si>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</si>
  <si>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</si>
  <si>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</si>
  <si>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</si>
  <si>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</si>
  <si>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</si>
  <si>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13.1 Producers/ Capacity Utilization</t>
  </si>
  <si>
    <t>Qtls P Hour</t>
  </si>
  <si>
    <t>No. of Operation Days</t>
  </si>
  <si>
    <t>Total Quantity to be Processed</t>
  </si>
  <si>
    <t>Quanity for Processing and Trading for PC</t>
  </si>
  <si>
    <t>Output (KG)</t>
  </si>
  <si>
    <t>Husk and Powder</t>
  </si>
  <si>
    <t>Packaging (In Kg)</t>
  </si>
  <si>
    <t>13.2 Facility 2 - Profit and loss of Grain Processing Unit - Dal Mill</t>
  </si>
  <si>
    <t>50 Kg</t>
  </si>
  <si>
    <t>Kg</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</si>
  <si>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</si>
  <si>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</si>
  <si>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</si>
  <si>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</si>
  <si>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</si>
  <si>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</si>
  <si>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</si>
  <si>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</si>
  <si>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</si>
  <si>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</si>
  <si>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</si>
  <si>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</si>
  <si>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</si>
  <si>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</si>
  <si>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</si>
  <si>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</si>
  <si>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</si>
  <si>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</si>
  <si>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</si>
  <si>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</si>
  <si>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</si>
  <si>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</si>
  <si>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</si>
  <si>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</si>
  <si>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</si>
  <si>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</si>
  <si>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</si>
  <si>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</si>
  <si>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</si>
  <si>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</si>
  <si>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</si>
  <si>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</si>
  <si>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</si>
  <si>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</si>
  <si>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</si>
  <si>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</si>
  <si>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</si>
  <si>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</si>
  <si>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</si>
  <si>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</si>
  <si>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</si>
  <si>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</si>
  <si>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</si>
  <si>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</si>
  <si>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</si>
  <si>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</si>
  <si>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</si>
  <si>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</si>
  <si>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</si>
  <si>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</si>
  <si>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</si>
  <si>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</si>
  <si>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</si>
  <si>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</si>
  <si>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</si>
  <si>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</si>
  <si>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</si>
  <si>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</si>
  <si>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</si>
  <si>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</si>
  <si>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</si>
  <si>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</si>
  <si>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</si>
  <si>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</si>
  <si>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</si>
  <si>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</si>
  <si>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</si>
  <si>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</si>
  <si>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</si>
  <si>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</si>
  <si>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</si>
  <si>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</si>
  <si>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</si>
  <si>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</si>
  <si>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</si>
  <si>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</si>
  <si>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</si>
  <si>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</si>
  <si>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</si>
  <si>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</si>
  <si>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</si>
  <si>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</si>
  <si>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</si>
  <si>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</si>
  <si>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</si>
  <si>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</si>
  <si>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#REF!</t>
  </si>
  <si>
    <t>OPERATIONAL AREA</t>
  </si>
  <si>
    <t>STORAGE AREA</t>
  </si>
  <si>
    <t>OFFICE AND LAB</t>
  </si>
  <si>
    <t>MACHINERY AND EQUIPMENT</t>
  </si>
  <si>
    <t>TURMERIC WASHER</t>
  </si>
  <si>
    <t>50 KG</t>
  </si>
  <si>
    <t>TURMERIC SLICER</t>
  </si>
  <si>
    <t>FLEX DRYER</t>
  </si>
  <si>
    <t>DISINTIGRATER</t>
  </si>
  <si>
    <t>100 KG</t>
  </si>
  <si>
    <t>SOLVENT STORAGE TANKS</t>
  </si>
  <si>
    <t>1KL</t>
  </si>
  <si>
    <t>EXTRACTOR INTERNAL AND EXTERNAL HEATING</t>
  </si>
  <si>
    <t>1.5KL</t>
  </si>
  <si>
    <t>CONDENSER SHELL AND TUBE</t>
  </si>
  <si>
    <t>10 M.SQR</t>
  </si>
  <si>
    <t>OIL HEATED REBOILER WITH STIRRER FOR DISTILLATION</t>
  </si>
  <si>
    <t>120 LITER</t>
  </si>
  <si>
    <t>CRYSTALLIZATION TANKS</t>
  </si>
  <si>
    <t>100 LITER</t>
  </si>
  <si>
    <t>MULTI MILL FOR DRY EXTRACT GRINDING</t>
  </si>
  <si>
    <t>50 KG/HR</t>
  </si>
  <si>
    <t xml:space="preserve">GST 18% EXTRA </t>
  </si>
  <si>
    <t xml:space="preserve"> </t>
  </si>
  <si>
    <t>CURCUMIN EXTRACTION</t>
  </si>
  <si>
    <t>SHIFTER FOR SIZE SEPARATION</t>
  </si>
  <si>
    <t>50 KH/HR</t>
  </si>
  <si>
    <t xml:space="preserve">OCTAGONAL BLENDER </t>
  </si>
  <si>
    <t>25 KG/HR</t>
  </si>
  <si>
    <t>SUPPORTING STRUCTURE</t>
  </si>
  <si>
    <t>30 SQ.MT</t>
  </si>
  <si>
    <t>PIPE LINES FOR COOLING WATER, SOLVENT</t>
  </si>
  <si>
    <t>-</t>
  </si>
  <si>
    <t>VALVES, GAUGES OR TEMP CONTROLS</t>
  </si>
  <si>
    <t>COOLING WATER UTILITY TANKS</t>
  </si>
  <si>
    <t>GASIFIER/BOL\BOILER</t>
  </si>
  <si>
    <t>TOTAL INSTRUMENTATION AND ELECTRIFICATION OF PLANT</t>
  </si>
  <si>
    <t>PLANT</t>
  </si>
  <si>
    <t>REACTOR FOR WHITE CURCUMIN</t>
  </si>
  <si>
    <t>300 LITER</t>
  </si>
  <si>
    <t>BRIQUETTING MACHINE FOR WASTE</t>
  </si>
  <si>
    <t>PACKAGING MACHINE FOR POWDER</t>
  </si>
  <si>
    <t>20-25 POUCH/M</t>
  </si>
  <si>
    <t>PACKAGING MACHINE FOR OIL</t>
  </si>
  <si>
    <t>20-30 BOTTEL/M</t>
  </si>
  <si>
    <t>VOCUM TRADE DRYER</t>
  </si>
  <si>
    <t>200 LTR</t>
  </si>
  <si>
    <t>TABLE</t>
  </si>
  <si>
    <t>CHAIR</t>
  </si>
  <si>
    <t>BOSS CHAIR</t>
  </si>
  <si>
    <t>COMPUTER</t>
  </si>
  <si>
    <t xml:space="preserve">PRINTER </t>
  </si>
  <si>
    <t>CCTV CAMERA</t>
  </si>
  <si>
    <t>PROJECT REOPRT</t>
  </si>
  <si>
    <t xml:space="preserve">ESTIMATE </t>
  </si>
  <si>
    <t>MISCLANOUS EXP</t>
  </si>
  <si>
    <t>DOCUMENTATION</t>
  </si>
  <si>
    <t xml:space="preserve">LEASE AGREEMENT </t>
  </si>
  <si>
    <t>PREOPERATIVE EXPENCES</t>
  </si>
  <si>
    <t>3KL</t>
  </si>
  <si>
    <t>800000 KCAL/HR</t>
  </si>
  <si>
    <t>Turmeric</t>
  </si>
  <si>
    <t>Curcumming</t>
  </si>
  <si>
    <t>Briequtting</t>
  </si>
  <si>
    <t>Curcumming Powder (3.5%)</t>
  </si>
  <si>
    <t>Turmiric Processing</t>
  </si>
  <si>
    <t>1 Kg</t>
  </si>
  <si>
    <t>Packaging of Briequtting (In Kg)</t>
  </si>
  <si>
    <t>Packaging Curcumming (In Kg)</t>
  </si>
  <si>
    <t>Solvant</t>
  </si>
  <si>
    <t>Quinatal/day</t>
  </si>
  <si>
    <t>Quantity for sale (100%)</t>
  </si>
  <si>
    <t>Turmeric Processing</t>
  </si>
  <si>
    <t>Faclitiy 2 - Processing Unit- Turmeric Processing</t>
  </si>
  <si>
    <t>Briequtting (96.5%)  In Qtl</t>
  </si>
  <si>
    <t>TURMERIC PROCESSING- CURCUMIN EXTRACTION</t>
  </si>
  <si>
    <t>Preliminary Expenses &amp; Preoperative Expences</t>
  </si>
  <si>
    <t>Facility 2 - Turmeric  Processing Unit - Turmeric Processing and Curcumming Extraction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</si>
</sst>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 #,##0.00_ ;_ * \-#,##0.00_ ;_ * &quot;-&quot;??_ ;_ @_ "/>
    <numFmt numFmtId="164" formatCode="_(* #,##0_);_(* \(#,##0\);_(* &quot;-&quot;??_);_(@_)"/>
    <numFmt numFmtId="165" formatCode="_-* #,##0_-;\-* #,##0_-;_-* &quot;-&quot;??_-;_-@"/>
    <numFmt numFmtId="166" formatCode="_-* #,##0.00_-;\-* #,##0.00_-;_-* &quot;-&quot;??_-;_-@"/>
    <numFmt numFmtId="167" formatCode="#,##0_ ;[Red]\-#,##0\ "/>
    <numFmt numFmtId="168" formatCode="#,##0.00_ ;[Red]\-#,##0.00\ "/>
    <numFmt numFmtId="169" formatCode="&quot;Rs.&quot;\ #,##0.00;[Red]&quot;Rs.&quot;\ \-#,##0.00"/>
    <numFmt numFmtId="170" formatCode="0.0"/>
    <numFmt numFmtId="171" formatCode="_(* #,##0.0000_);_(* \(#,##0.0000\);_(* &quot;-&quot;??_);_(@_)"/>
    <numFmt numFmtId="172" formatCode="_(* #,##0.00_);_(* \(#,##0.00\);_(* &quot;-&quot;??_);_(@_)"/>
    <numFmt numFmtId="173" formatCode="_ * #,##0_ ;_ * \-#,##0_ ;_ * &quot;-&quot;??_ ;_ @_ "/>
    <numFmt numFmtId="174" formatCode="_ * #,##0.0_ ;_ * \-#,##0.0_ ;_ * &quot;-&quot;??_ ;_ @_ "/>
    <numFmt numFmtId="175" formatCode="0.0%"/>
    <numFmt numFmtId="176" formatCode="_-* #,##0.00_-;\-* #,##0.00_-;_-* &quot;-&quot;??_-;_-@_-"/>
    <numFmt numFmtId="177" formatCode="_-* #,##0_-;\-* #,##0_-;_-* &quot;-&quot;??_-;_-@_-"/>
  </numFmts>
  <fonts count="67">
    <font>
      <sz val="11"/>
      <color rgb="FF000000"/>
      <name val="Calibri"/>
    </font>
    <font>
      <sz val="11"/>
      <color theme="1"/>
      <name val="Calibri"/>
      <family val="2"/>
      <scheme val="minor"/>
    </font>
    <font>
      <b/>
      <sz val="24"/>
      <color rgb="FF000000"/>
      <name val="Calibri"/>
    </font>
    <font>
      <sz val="11"/>
      <name val="Calibri"/>
    </font>
    <font>
      <b/>
      <u/>
      <sz val="18"/>
      <color rgb="FF000000"/>
      <name val="Calibri"/>
    </font>
    <font>
      <b/>
      <sz val="18"/>
      <color rgb="FF000000"/>
      <name val="Calibri"/>
    </font>
    <font>
      <b/>
      <sz val="11"/>
      <color rgb="FF000000"/>
      <name val="Calibri"/>
    </font>
    <font>
      <b/>
      <sz val="11"/>
      <color rgb="FFC00000"/>
      <name val="Calibri"/>
    </font>
    <font>
      <b/>
      <sz val="16"/>
      <color rgb="FF000000"/>
      <name val="Calibri"/>
    </font>
    <font>
      <b/>
      <sz val="14"/>
      <color rgb="FF000000"/>
      <name val="Times New Roman"/>
    </font>
    <font>
      <b/>
      <sz val="10"/>
      <color rgb="FFFFFFFF"/>
      <name val="Times New Roman"/>
    </font>
    <font>
      <sz val="10"/>
      <color rgb="FF000000"/>
      <name val="Times New Roman"/>
    </font>
    <font>
      <sz val="10"/>
      <color rgb="FF00000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Calibri"/>
    </font>
    <font>
      <b/>
      <sz val="14"/>
      <name val="Times New Roman"/>
    </font>
    <font>
      <b/>
      <u/>
      <sz val="11"/>
      <color rgb="FF000000"/>
      <name val="Times New Roman"/>
    </font>
    <font>
      <b/>
      <i/>
      <sz val="11"/>
      <color rgb="FF000000"/>
      <name val="Times New Roman"/>
    </font>
    <font>
      <b/>
      <sz val="11"/>
      <name val="Times New Roman"/>
    </font>
    <font>
      <sz val="11"/>
      <name val="Calibri"/>
    </font>
    <font>
      <b/>
      <u/>
      <sz val="11"/>
      <color rgb="FF0000FF"/>
      <name val="Calibri"/>
    </font>
    <font>
      <sz val="11"/>
      <color rgb="FFFFFFFF"/>
      <name val="Times New Roman"/>
    </font>
    <font>
      <b/>
      <sz val="8"/>
      <color rgb="FF202124"/>
      <name val="Arial"/>
    </font>
    <font>
      <b/>
      <sz val="9"/>
      <name val="Arial"/>
    </font>
    <font>
      <b/>
      <sz val="11"/>
      <color rgb="FF272727"/>
      <name val="Garamond"/>
    </font>
    <font>
      <sz val="10"/>
      <color rgb="FF424142"/>
      <name val="Georgia"/>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13"/>
      <color rgb="FF000000"/>
      <name val="Times New Roman"/>
    </font>
    <font>
      <sz val="12"/>
      <color rgb="FFFFFFFF"/>
      <name val="Times New Roman"/>
    </font>
    <font>
      <sz val="12"/>
      <color rgb="FFFF0000"/>
      <name val="Times New Roman"/>
    </font>
    <font>
      <sz val="13"/>
      <name val="Times New Roman"/>
    </font>
    <font>
      <b/>
      <u/>
      <sz val="11"/>
      <color rgb="FF0000FF"/>
      <name val="Garamond"/>
    </font>
    <font>
      <b/>
      <sz val="11"/>
      <color rgb="FF202122"/>
      <name val="Garamond"/>
    </font>
    <font>
      <b/>
      <sz val="12"/>
      <color rgb="FFFFFFFF"/>
      <name val="Times New Roman"/>
    </font>
    <font>
      <sz val="12"/>
      <color rgb="FF000000"/>
      <name val="Times New Roman"/>
    </font>
    <font>
      <sz val="12"/>
      <name val="Times New Roman"/>
    </font>
    <font>
      <b/>
      <sz val="11"/>
      <color rgb="FF111111"/>
      <name val="Garamond"/>
    </font>
    <font>
      <b/>
      <sz val="11"/>
      <color rgb="FFFFFFFF"/>
      <name val="Calibri"/>
    </font>
    <font>
      <sz val="11"/>
      <color rgb="FFFFFFFF"/>
      <name val="Calibri"/>
    </font>
    <font>
      <sz val="11"/>
      <color rgb="FFC00000"/>
      <name val="Calibri"/>
    </font>
    <font>
      <sz val="11"/>
      <color rgb="FF000000"/>
      <name val="Calibri"/>
    </font>
    <font>
      <b/>
      <sz val="11"/>
      <color theme="0"/>
      <name val="Calibri"/>
      <family val="2"/>
      <scheme val="minor"/>
    </font>
    <font>
      <sz val="11"/>
      <color rgb="FF000000"/>
      <name val="Calibri"/>
      <family val="2"/>
    </font>
    <font>
      <sz val="11"/>
      <name val="Times New Roman"/>
      <family val="1"/>
    </font>
    <font>
      <sz val="11"/>
      <color theme="1"/>
      <name val="Times New Roman"/>
      <family val="1"/>
    </font>
    <font>
      <b/>
      <sz val="11"/>
      <color rgb="FF000000"/>
      <name val="Times New Roman"/>
      <family val="1"/>
    </font>
    <font>
      <sz val="11"/>
      <color rgb="FF000000"/>
      <name val="Times New Roman"/>
      <family val="1"/>
    </font>
    <font>
      <sz val="11"/>
      <color rgb="FF000000"/>
      <name val="Garamond"/>
      <family val="1"/>
    </font>
    <font>
      <b/>
      <sz val="11"/>
      <color rgb="FFFFFFFF"/>
      <name val="Calibri"/>
      <family val="2"/>
    </font>
    <font>
      <b/>
      <sz val="14"/>
      <color rgb="FF000000"/>
      <name val="Times New Roman"/>
      <family val="1"/>
    </font>
    <font>
      <b/>
      <sz val="14"/>
      <name val="Times New Roman"/>
      <family val="1"/>
    </font>
  </fonts>
  <fills count="15">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rgb="FFFFFFFF"/>
        <bgColor rgb="FFFFFFFF"/>
      </patternFill>
    </fill>
    <fill>
      <patternFill patternType="solid">
        <fgColor rgb="FFFFFF00"/>
        <bgColor indexed="64"/>
      </patternFill>
    </fill>
    <fill>
      <patternFill patternType="solid">
        <fgColor rgb="FF333300"/>
        <bgColor indexed="64"/>
      </patternFill>
    </fill>
    <fill>
      <patternFill patternType="solid">
        <fgColor rgb="FF92D050"/>
        <bgColor indexed="64"/>
      </patternFill>
    </fill>
  </fills>
  <borders count="44">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3">
    <xf numFmtId="0" fontId="0" fillId="0" borderId="0"/>
    <xf numFmtId="43" fontId="56" fillId="0" borderId="0" applyFont="0" applyFill="0" applyBorder="0" applyAlignment="0" applyProtection="0"/>
    <xf numFmtId="176" fontId="1" fillId="0" borderId="23" applyFont="0" applyFill="0" applyBorder="0" applyAlignment="0" applyProtection="0"/>
  </cellStyleXfs>
  <cellXfs count="411">
    <xf numFmtId="0" fontId="0" fillId="0" borderId="0" xfId="0" applyFont="1" applyAlignment="1"/>
    <xf numFmtId="0" fontId="0" fillId="0" borderId="0" xfId="0" applyFont="1" applyAlignment="1">
      <alignment vertical="center" wrapText="1"/>
    </xf>
    <xf numFmtId="0" fontId="0" fillId="5" borderId="5" xfId="0" applyFont="1" applyFill="1" applyBorder="1" applyAlignment="1">
      <alignment vertical="center" wrapText="1"/>
    </xf>
    <xf numFmtId="0" fontId="0" fillId="6" borderId="5" xfId="0" applyFont="1" applyFill="1" applyBorder="1" applyAlignment="1">
      <alignment vertical="center" wrapText="1"/>
    </xf>
    <xf numFmtId="0" fontId="6" fillId="0" borderId="6" xfId="0" applyFont="1" applyBorder="1" applyAlignment="1">
      <alignment vertical="center" wrapText="1"/>
    </xf>
    <xf numFmtId="0" fontId="6" fillId="7" borderId="6" xfId="0" applyFont="1" applyFill="1" applyBorder="1" applyAlignment="1">
      <alignment vertical="center" wrapText="1"/>
    </xf>
    <xf numFmtId="0" fontId="7" fillId="0" borderId="6"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6" fillId="7" borderId="10" xfId="0" applyFont="1" applyFill="1" applyBorder="1" applyAlignment="1">
      <alignment vertical="center" wrapText="1"/>
    </xf>
    <xf numFmtId="0" fontId="0" fillId="0" borderId="6" xfId="0" applyFont="1" applyBorder="1" applyAlignment="1">
      <alignment horizontal="center" vertical="center" wrapText="1"/>
    </xf>
    <xf numFmtId="0" fontId="10" fillId="8" borderId="6"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1" fillId="0" borderId="6" xfId="0" applyFont="1" applyBorder="1" applyAlignment="1">
      <alignment horizontal="right" vertical="center" wrapText="1"/>
    </xf>
    <xf numFmtId="0" fontId="11" fillId="0" borderId="6" xfId="0" applyFont="1" applyBorder="1" applyAlignment="1">
      <alignment vertical="center" wrapText="1"/>
    </xf>
    <xf numFmtId="164" fontId="11" fillId="0" borderId="6" xfId="0" applyNumberFormat="1" applyFont="1" applyBorder="1" applyAlignment="1">
      <alignment vertical="center" wrapText="1"/>
    </xf>
    <xf numFmtId="9" fontId="12" fillId="6" borderId="6" xfId="0" applyNumberFormat="1" applyFont="1" applyFill="1" applyBorder="1"/>
    <xf numFmtId="164" fontId="12" fillId="0" borderId="6" xfId="0" applyNumberFormat="1" applyFont="1" applyBorder="1"/>
    <xf numFmtId="0" fontId="12" fillId="0" borderId="6" xfId="0" applyFont="1" applyBorder="1"/>
    <xf numFmtId="164" fontId="13" fillId="0" borderId="6" xfId="0" applyNumberFormat="1" applyFont="1" applyBorder="1" applyAlignment="1">
      <alignment horizontal="center" vertical="center" wrapText="1"/>
    </xf>
    <xf numFmtId="165" fontId="0" fillId="0" borderId="0" xfId="0" applyNumberFormat="1" applyFont="1"/>
    <xf numFmtId="0" fontId="10" fillId="8" borderId="6" xfId="0" applyFont="1" applyFill="1" applyBorder="1" applyAlignment="1">
      <alignment vertical="center" wrapText="1"/>
    </xf>
    <xf numFmtId="9" fontId="11" fillId="0" borderId="6" xfId="0" applyNumberFormat="1" applyFont="1" applyBorder="1" applyAlignment="1">
      <alignment horizontal="right" vertical="center" wrapText="1"/>
    </xf>
    <xf numFmtId="165" fontId="11" fillId="0" borderId="6" xfId="0" applyNumberFormat="1" applyFont="1" applyBorder="1" applyAlignment="1">
      <alignment horizontal="right" vertical="center" wrapText="1"/>
    </xf>
    <xf numFmtId="9" fontId="11" fillId="6" borderId="6" xfId="0" applyNumberFormat="1" applyFont="1" applyFill="1" applyBorder="1" applyAlignment="1">
      <alignment horizontal="right" vertical="center" wrapText="1"/>
    </xf>
    <xf numFmtId="165" fontId="13" fillId="0" borderId="6" xfId="0" applyNumberFormat="1" applyFont="1" applyBorder="1" applyAlignment="1">
      <alignment horizontal="right" vertical="center" wrapText="1"/>
    </xf>
    <xf numFmtId="0" fontId="6" fillId="0" borderId="0" xfId="0" applyFont="1" applyAlignment="1">
      <alignment horizontal="center"/>
    </xf>
    <xf numFmtId="0" fontId="10" fillId="9" borderId="6" xfId="0" applyFont="1" applyFill="1" applyBorder="1" applyAlignment="1">
      <alignment vertical="center" wrapText="1"/>
    </xf>
    <xf numFmtId="0" fontId="10" fillId="9" borderId="6" xfId="0" applyFont="1" applyFill="1" applyBorder="1" applyAlignment="1">
      <alignment vertical="center"/>
    </xf>
    <xf numFmtId="0" fontId="10" fillId="9" borderId="6" xfId="0" applyFont="1" applyFill="1" applyBorder="1" applyAlignment="1">
      <alignment horizontal="center" vertical="center"/>
    </xf>
    <xf numFmtId="0" fontId="10" fillId="9" borderId="6" xfId="0" applyFont="1" applyFill="1" applyBorder="1" applyAlignment="1">
      <alignment horizontal="center" vertical="center" wrapText="1"/>
    </xf>
    <xf numFmtId="0" fontId="11" fillId="0" borderId="6" xfId="0" applyFont="1" applyBorder="1" applyAlignment="1">
      <alignment horizontal="center" vertical="center" wrapText="1"/>
    </xf>
    <xf numFmtId="10" fontId="11" fillId="0" borderId="6" xfId="0" applyNumberFormat="1" applyFont="1" applyBorder="1" applyAlignment="1">
      <alignment horizontal="center" vertical="center" wrapText="1"/>
    </xf>
    <xf numFmtId="0" fontId="11" fillId="0" borderId="6" xfId="0" applyFont="1" applyBorder="1" applyAlignment="1">
      <alignment horizontal="left" vertical="center" wrapText="1"/>
    </xf>
    <xf numFmtId="3" fontId="11" fillId="0" borderId="6"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6" fillId="8" borderId="6" xfId="0" applyFont="1" applyFill="1" applyBorder="1" applyAlignment="1">
      <alignment horizontal="center" vertical="center" wrapText="1"/>
    </xf>
    <xf numFmtId="0" fontId="17" fillId="5" borderId="6" xfId="0" applyFont="1" applyFill="1" applyBorder="1" applyAlignment="1">
      <alignment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166" fontId="17" fillId="0" borderId="6" xfId="0" applyNumberFormat="1" applyFont="1" applyBorder="1" applyAlignment="1">
      <alignment horizontal="right" vertical="center" wrapText="1"/>
    </xf>
    <xf numFmtId="0" fontId="18" fillId="5" borderId="6" xfId="0" applyFont="1" applyFill="1" applyBorder="1" applyAlignment="1">
      <alignment vertical="center" wrapText="1"/>
    </xf>
    <xf numFmtId="164" fontId="17" fillId="5" borderId="6" xfId="0" applyNumberFormat="1" applyFont="1" applyFill="1" applyBorder="1" applyAlignment="1">
      <alignment horizontal="left" vertical="center" wrapText="1"/>
    </xf>
    <xf numFmtId="164" fontId="17" fillId="5" borderId="6" xfId="0" applyNumberFormat="1" applyFont="1" applyFill="1" applyBorder="1" applyAlignment="1">
      <alignment vertical="center" wrapText="1"/>
    </xf>
    <xf numFmtId="164" fontId="17" fillId="5" borderId="6" xfId="0" applyNumberFormat="1" applyFont="1" applyFill="1" applyBorder="1" applyAlignment="1">
      <alignment horizontal="right" vertical="center" wrapText="1"/>
    </xf>
    <xf numFmtId="165" fontId="19" fillId="0" borderId="6" xfId="0" applyNumberFormat="1" applyFont="1" applyBorder="1" applyAlignment="1">
      <alignment horizontal="right" vertical="center" wrapText="1"/>
    </xf>
    <xf numFmtId="0" fontId="0" fillId="0" borderId="0" xfId="0" applyFont="1" applyAlignment="1">
      <alignment horizontal="center"/>
    </xf>
    <xf numFmtId="0" fontId="18" fillId="5" borderId="6" xfId="0" applyFont="1" applyFill="1" applyBorder="1" applyAlignment="1">
      <alignment horizontal="center" vertical="center" wrapText="1"/>
    </xf>
    <xf numFmtId="0" fontId="18" fillId="5" borderId="6" xfId="0" applyFont="1" applyFill="1" applyBorder="1"/>
    <xf numFmtId="165" fontId="18" fillId="5" borderId="6" xfId="0" applyNumberFormat="1" applyFont="1" applyFill="1" applyBorder="1" applyAlignment="1">
      <alignment horizontal="right" vertical="center" wrapText="1"/>
    </xf>
    <xf numFmtId="0" fontId="19" fillId="5" borderId="6" xfId="0" applyFont="1" applyFill="1" applyBorder="1" applyAlignment="1">
      <alignment horizontal="center" vertical="center" wrapText="1"/>
    </xf>
    <xf numFmtId="0" fontId="19" fillId="5" borderId="6" xfId="0" applyFont="1" applyFill="1" applyBorder="1" applyAlignment="1">
      <alignment vertical="center" wrapText="1"/>
    </xf>
    <xf numFmtId="164" fontId="19" fillId="5" borderId="6" xfId="0" applyNumberFormat="1" applyFont="1" applyFill="1" applyBorder="1" applyAlignment="1">
      <alignment horizontal="right" vertical="center" wrapText="1"/>
    </xf>
    <xf numFmtId="0" fontId="19" fillId="5" borderId="6" xfId="0" applyFont="1" applyFill="1" applyBorder="1"/>
    <xf numFmtId="0" fontId="19" fillId="5" borderId="2" xfId="0" applyFont="1" applyFill="1" applyBorder="1" applyAlignment="1">
      <alignment horizontal="center" vertical="center" wrapText="1"/>
    </xf>
    <xf numFmtId="165" fontId="19" fillId="5" borderId="6" xfId="0" applyNumberFormat="1" applyFont="1" applyFill="1" applyBorder="1" applyAlignment="1">
      <alignment horizontal="right" vertical="center" wrapText="1"/>
    </xf>
    <xf numFmtId="166" fontId="0" fillId="0" borderId="0" xfId="0" applyNumberFormat="1" applyFont="1"/>
    <xf numFmtId="0" fontId="20" fillId="8" borderId="6" xfId="0" applyFont="1" applyFill="1" applyBorder="1" applyAlignment="1">
      <alignment vertical="center" wrapText="1"/>
    </xf>
    <xf numFmtId="0" fontId="20" fillId="8"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165" fontId="21" fillId="0" borderId="6" xfId="0" applyNumberFormat="1" applyFont="1" applyBorder="1" applyAlignment="1">
      <alignment horizontal="right" vertical="center" wrapText="1"/>
    </xf>
    <xf numFmtId="0" fontId="16" fillId="8" borderId="6" xfId="0" applyFont="1" applyFill="1" applyBorder="1" applyAlignment="1">
      <alignment vertical="center" wrapText="1"/>
    </xf>
    <xf numFmtId="165" fontId="18" fillId="5" borderId="6" xfId="0" applyNumberFormat="1" applyFont="1" applyFill="1" applyBorder="1" applyAlignment="1">
      <alignment horizontal="center" vertical="center" wrapText="1"/>
    </xf>
    <xf numFmtId="0" fontId="16" fillId="8" borderId="17" xfId="0" applyFont="1" applyFill="1" applyBorder="1" applyAlignment="1">
      <alignment vertical="center" wrapText="1"/>
    </xf>
    <xf numFmtId="0" fontId="16" fillId="8" borderId="18" xfId="0" applyFont="1" applyFill="1" applyBorder="1" applyAlignment="1">
      <alignment horizontal="center" vertical="center" wrapText="1"/>
    </xf>
    <xf numFmtId="0" fontId="18" fillId="5" borderId="19" xfId="0" applyFont="1" applyFill="1" applyBorder="1" applyAlignment="1">
      <alignment horizontal="right" vertical="center" wrapText="1"/>
    </xf>
    <xf numFmtId="0" fontId="18" fillId="5" borderId="20" xfId="0" applyFont="1" applyFill="1" applyBorder="1" applyAlignment="1">
      <alignment vertical="center" wrapText="1"/>
    </xf>
    <xf numFmtId="165" fontId="18" fillId="5" borderId="20" xfId="0" applyNumberFormat="1" applyFont="1" applyFill="1" applyBorder="1" applyAlignment="1">
      <alignment horizontal="right" vertical="center" wrapText="1"/>
    </xf>
    <xf numFmtId="165" fontId="19" fillId="5" borderId="20" xfId="0" applyNumberFormat="1" applyFont="1" applyFill="1" applyBorder="1" applyAlignment="1">
      <alignment horizontal="right" vertical="center" wrapText="1"/>
    </xf>
    <xf numFmtId="0" fontId="18" fillId="0" borderId="0" xfId="0" applyFont="1"/>
    <xf numFmtId="9" fontId="18" fillId="0" borderId="0" xfId="0" applyNumberFormat="1" applyFont="1"/>
    <xf numFmtId="10" fontId="18" fillId="0" borderId="0" xfId="0" applyNumberFormat="1" applyFont="1"/>
    <xf numFmtId="0" fontId="16" fillId="8" borderId="6" xfId="0" applyFont="1" applyFill="1" applyBorder="1"/>
    <xf numFmtId="0" fontId="16" fillId="8" borderId="6" xfId="0" applyFont="1" applyFill="1" applyBorder="1" applyAlignment="1">
      <alignment horizontal="center"/>
    </xf>
    <xf numFmtId="0" fontId="18" fillId="0" borderId="6" xfId="0" applyFont="1" applyBorder="1"/>
    <xf numFmtId="164" fontId="18" fillId="5" borderId="6" xfId="0" applyNumberFormat="1" applyFont="1" applyFill="1" applyBorder="1"/>
    <xf numFmtId="164" fontId="18" fillId="0" borderId="6" xfId="0" applyNumberFormat="1" applyFont="1" applyBorder="1"/>
    <xf numFmtId="0" fontId="19" fillId="0" borderId="6" xfId="0" applyFont="1" applyBorder="1"/>
    <xf numFmtId="164" fontId="19" fillId="0" borderId="6" xfId="0" applyNumberFormat="1" applyFont="1" applyBorder="1"/>
    <xf numFmtId="0" fontId="23" fillId="0" borderId="0" xfId="0" applyFont="1" applyAlignment="1">
      <alignment horizontal="center"/>
    </xf>
    <xf numFmtId="0" fontId="0" fillId="0" borderId="0" xfId="0" applyFont="1"/>
    <xf numFmtId="0" fontId="19" fillId="8" borderId="6" xfId="0" applyFont="1" applyFill="1" applyBorder="1"/>
    <xf numFmtId="0" fontId="16" fillId="8" borderId="6" xfId="0" applyFont="1" applyFill="1" applyBorder="1" applyAlignment="1">
      <alignment horizontal="center" wrapText="1"/>
    </xf>
    <xf numFmtId="0" fontId="19" fillId="0" borderId="6" xfId="0" applyFont="1" applyBorder="1" applyAlignment="1">
      <alignment horizontal="center"/>
    </xf>
    <xf numFmtId="0" fontId="25" fillId="0" borderId="6" xfId="0" applyFont="1" applyBorder="1"/>
    <xf numFmtId="0" fontId="26" fillId="0" borderId="6" xfId="0" applyFont="1" applyBorder="1" applyAlignment="1">
      <alignment horizontal="center"/>
    </xf>
    <xf numFmtId="0" fontId="18" fillId="0" borderId="6" xfId="0" applyFont="1" applyBorder="1" applyAlignment="1">
      <alignment horizontal="left"/>
    </xf>
    <xf numFmtId="0" fontId="19" fillId="0" borderId="6" xfId="0" applyFont="1" applyBorder="1" applyAlignment="1">
      <alignment horizontal="left"/>
    </xf>
    <xf numFmtId="165" fontId="17" fillId="0" borderId="6" xfId="0" applyNumberFormat="1" applyFont="1" applyBorder="1"/>
    <xf numFmtId="165" fontId="27" fillId="0" borderId="6" xfId="0" applyNumberFormat="1" applyFont="1" applyBorder="1"/>
    <xf numFmtId="0" fontId="18" fillId="0" borderId="0" xfId="0" applyFont="1" applyAlignment="1">
      <alignment horizontal="left"/>
    </xf>
    <xf numFmtId="165" fontId="17" fillId="0" borderId="0" xfId="0" applyNumberFormat="1" applyFont="1"/>
    <xf numFmtId="0" fontId="19" fillId="10" borderId="23" xfId="0" applyFont="1" applyFill="1" applyBorder="1" applyAlignment="1">
      <alignment horizontal="left" wrapText="1"/>
    </xf>
    <xf numFmtId="0" fontId="19" fillId="0" borderId="0" xfId="0" applyFont="1" applyAlignment="1">
      <alignment horizontal="center"/>
    </xf>
    <xf numFmtId="0" fontId="19" fillId="0" borderId="0" xfId="0" applyFont="1"/>
    <xf numFmtId="0" fontId="19" fillId="0" borderId="0" xfId="0" applyFont="1" applyAlignment="1">
      <alignment wrapText="1"/>
    </xf>
    <xf numFmtId="0" fontId="18" fillId="0" borderId="0" xfId="0" applyFont="1" applyAlignment="1">
      <alignment wrapText="1"/>
    </xf>
    <xf numFmtId="0" fontId="28" fillId="0" borderId="0" xfId="0" applyFont="1"/>
    <xf numFmtId="0" fontId="29" fillId="0" borderId="0" xfId="0" applyFont="1"/>
    <xf numFmtId="0" fontId="16" fillId="9" borderId="6" xfId="0" applyFont="1" applyFill="1" applyBorder="1" applyAlignment="1">
      <alignment vertical="center"/>
    </xf>
    <xf numFmtId="0" fontId="16" fillId="9" borderId="6" xfId="0" applyFont="1" applyFill="1" applyBorder="1" applyAlignment="1">
      <alignment horizontal="center" vertical="center"/>
    </xf>
    <xf numFmtId="165" fontId="30" fillId="9" borderId="6" xfId="0" applyNumberFormat="1" applyFont="1" applyFill="1" applyBorder="1" applyAlignment="1">
      <alignment horizontal="center"/>
    </xf>
    <xf numFmtId="165" fontId="28" fillId="0" borderId="0" xfId="0" applyNumberFormat="1" applyFont="1"/>
    <xf numFmtId="0" fontId="27" fillId="0" borderId="6" xfId="0" applyFont="1" applyBorder="1" applyAlignment="1">
      <alignment vertical="center"/>
    </xf>
    <xf numFmtId="0" fontId="27" fillId="0" borderId="6" xfId="0" applyFont="1" applyBorder="1" applyAlignment="1">
      <alignment horizontal="center" vertical="center"/>
    </xf>
    <xf numFmtId="0" fontId="27" fillId="0" borderId="6" xfId="0" applyFont="1" applyBorder="1"/>
    <xf numFmtId="0" fontId="17" fillId="0" borderId="6" xfId="0" applyFont="1" applyBorder="1"/>
    <xf numFmtId="165" fontId="23" fillId="0" borderId="0" xfId="0" applyNumberFormat="1" applyFont="1"/>
    <xf numFmtId="38" fontId="23" fillId="0" borderId="0" xfId="0" applyNumberFormat="1" applyFont="1" applyAlignment="1">
      <alignment horizontal="left"/>
    </xf>
    <xf numFmtId="0" fontId="23" fillId="0" borderId="0" xfId="0" applyFont="1"/>
    <xf numFmtId="167" fontId="17" fillId="0" borderId="6" xfId="0" applyNumberFormat="1" applyFont="1" applyBorder="1" applyAlignment="1">
      <alignment vertical="center"/>
    </xf>
    <xf numFmtId="168" fontId="23" fillId="0" borderId="0" xfId="0" applyNumberFormat="1" applyFont="1" applyAlignment="1">
      <alignment vertical="center"/>
    </xf>
    <xf numFmtId="167" fontId="27" fillId="0" borderId="6" xfId="0" applyNumberFormat="1" applyFont="1" applyBorder="1" applyAlignment="1">
      <alignment vertical="center"/>
    </xf>
    <xf numFmtId="0" fontId="0" fillId="0" borderId="24" xfId="0" applyFont="1" applyBorder="1"/>
    <xf numFmtId="0" fontId="23" fillId="0" borderId="24" xfId="0" applyFont="1" applyBorder="1"/>
    <xf numFmtId="9" fontId="23" fillId="6" borderId="23" xfId="0" applyNumberFormat="1" applyFont="1" applyFill="1" applyBorder="1"/>
    <xf numFmtId="164" fontId="18" fillId="0" borderId="0" xfId="0" applyNumberFormat="1" applyFont="1"/>
    <xf numFmtId="9" fontId="18" fillId="6" borderId="23" xfId="0" applyNumberFormat="1" applyFont="1" applyFill="1" applyBorder="1"/>
    <xf numFmtId="0" fontId="18" fillId="6" borderId="23" xfId="0" applyFont="1" applyFill="1" applyBorder="1"/>
    <xf numFmtId="169" fontId="18" fillId="0" borderId="0" xfId="0" applyNumberFormat="1" applyFont="1"/>
    <xf numFmtId="168" fontId="18" fillId="0" borderId="0" xfId="0" applyNumberFormat="1" applyFont="1"/>
    <xf numFmtId="0" fontId="16" fillId="8" borderId="6" xfId="0" applyFont="1" applyFill="1" applyBorder="1" applyAlignment="1">
      <alignment horizontal="right"/>
    </xf>
    <xf numFmtId="2" fontId="16" fillId="8" borderId="6" xfId="0" applyNumberFormat="1" applyFont="1" applyFill="1" applyBorder="1" applyAlignment="1">
      <alignment horizontal="right"/>
    </xf>
    <xf numFmtId="2" fontId="0" fillId="0" borderId="0" xfId="0" applyNumberFormat="1" applyFont="1"/>
    <xf numFmtId="2" fontId="18" fillId="0" borderId="0" xfId="0" applyNumberFormat="1" applyFont="1"/>
    <xf numFmtId="0" fontId="9" fillId="0" borderId="0" xfId="0" applyFont="1"/>
    <xf numFmtId="0" fontId="16" fillId="9" borderId="6" xfId="0" applyFont="1" applyFill="1" applyBorder="1"/>
    <xf numFmtId="0" fontId="16" fillId="9" borderId="6" xfId="0" applyFont="1" applyFill="1" applyBorder="1" applyAlignment="1">
      <alignment horizontal="center"/>
    </xf>
    <xf numFmtId="0" fontId="17" fillId="5" borderId="23" xfId="0" applyFont="1" applyFill="1" applyBorder="1"/>
    <xf numFmtId="9" fontId="18" fillId="0" borderId="6" xfId="0" applyNumberFormat="1" applyFont="1" applyBorder="1"/>
    <xf numFmtId="0" fontId="27" fillId="5" borderId="6" xfId="0" applyFont="1" applyFill="1" applyBorder="1"/>
    <xf numFmtId="0" fontId="27" fillId="9" borderId="6" xfId="0" applyFont="1" applyFill="1" applyBorder="1"/>
    <xf numFmtId="0" fontId="17" fillId="5" borderId="6" xfId="0" applyFont="1" applyFill="1" applyBorder="1"/>
    <xf numFmtId="164" fontId="17" fillId="5" borderId="6" xfId="0" applyNumberFormat="1" applyFont="1" applyFill="1" applyBorder="1"/>
    <xf numFmtId="2" fontId="17" fillId="5" borderId="6" xfId="0" applyNumberFormat="1" applyFont="1" applyFill="1" applyBorder="1"/>
    <xf numFmtId="170" fontId="17" fillId="5" borderId="6" xfId="0" applyNumberFormat="1" applyFont="1" applyFill="1" applyBorder="1"/>
    <xf numFmtId="0" fontId="0" fillId="0" borderId="6" xfId="0" applyFont="1" applyBorder="1"/>
    <xf numFmtId="9" fontId="18" fillId="6" borderId="6" xfId="0" applyNumberFormat="1" applyFont="1" applyFill="1" applyBorder="1"/>
    <xf numFmtId="2" fontId="27" fillId="5" borderId="6" xfId="0" applyNumberFormat="1" applyFont="1" applyFill="1" applyBorder="1"/>
    <xf numFmtId="9" fontId="18" fillId="5" borderId="6" xfId="0" applyNumberFormat="1" applyFont="1" applyFill="1" applyBorder="1"/>
    <xf numFmtId="0" fontId="31" fillId="0" borderId="0" xfId="0" applyFont="1"/>
    <xf numFmtId="0" fontId="0" fillId="0" borderId="0" xfId="0" applyFont="1" applyAlignment="1">
      <alignment wrapText="1"/>
    </xf>
    <xf numFmtId="0" fontId="27" fillId="0" borderId="6" xfId="0" applyFont="1" applyBorder="1" applyAlignment="1">
      <alignment horizontal="center" vertical="center" wrapText="1"/>
    </xf>
    <xf numFmtId="0" fontId="27" fillId="0" borderId="6" xfId="0" applyFont="1" applyBorder="1" applyAlignment="1">
      <alignment horizontal="left" vertical="center" wrapText="1"/>
    </xf>
    <xf numFmtId="164" fontId="17"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19" fillId="0" borderId="6" xfId="0" applyFont="1" applyBorder="1" applyAlignment="1">
      <alignment vertical="center" wrapText="1"/>
    </xf>
    <xf numFmtId="164" fontId="18" fillId="0" borderId="6" xfId="0" applyNumberFormat="1" applyFont="1" applyBorder="1" applyAlignment="1">
      <alignment horizontal="right"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0" fontId="19" fillId="5" borderId="5" xfId="0" applyFont="1" applyFill="1" applyBorder="1" applyAlignment="1">
      <alignment horizontal="center" vertical="center" wrapText="1"/>
    </xf>
    <xf numFmtId="164" fontId="19" fillId="0" borderId="6" xfId="0" applyNumberFormat="1" applyFont="1" applyBorder="1" applyAlignment="1">
      <alignment horizontal="right" vertical="center" wrapText="1"/>
    </xf>
    <xf numFmtId="0" fontId="18" fillId="0" borderId="6" xfId="0" applyFont="1" applyBorder="1" applyAlignment="1">
      <alignment horizontal="right" vertical="center" wrapText="1"/>
    </xf>
    <xf numFmtId="9" fontId="19" fillId="6" borderId="6" xfId="0" applyNumberFormat="1" applyFont="1" applyFill="1" applyBorder="1" applyAlignment="1">
      <alignment horizontal="center" vertical="center" wrapText="1"/>
    </xf>
    <xf numFmtId="43" fontId="0" fillId="0" borderId="0" xfId="0" applyNumberFormat="1" applyFont="1"/>
    <xf numFmtId="9" fontId="0" fillId="0" borderId="0" xfId="0" applyNumberFormat="1" applyFont="1"/>
    <xf numFmtId="164" fontId="0" fillId="0" borderId="0" xfId="0" applyNumberFormat="1" applyFont="1"/>
    <xf numFmtId="164" fontId="3" fillId="0" borderId="0" xfId="0" applyNumberFormat="1" applyFont="1"/>
    <xf numFmtId="0" fontId="34" fillId="0" borderId="0" xfId="0" applyFont="1"/>
    <xf numFmtId="0" fontId="28" fillId="0" borderId="0" xfId="0" applyFont="1" applyAlignment="1">
      <alignment vertical="center"/>
    </xf>
    <xf numFmtId="0" fontId="6" fillId="0" borderId="0" xfId="0" applyFont="1"/>
    <xf numFmtId="0" fontId="35" fillId="0" borderId="0" xfId="0" applyFont="1" applyAlignment="1">
      <alignment vertical="center"/>
    </xf>
    <xf numFmtId="0" fontId="23" fillId="0" borderId="0" xfId="0" applyFont="1" applyAlignment="1">
      <alignment vertical="center"/>
    </xf>
    <xf numFmtId="0" fontId="16" fillId="8" borderId="30" xfId="0" applyFont="1" applyFill="1" applyBorder="1" applyAlignment="1">
      <alignment vertical="center"/>
    </xf>
    <xf numFmtId="0" fontId="16" fillId="8" borderId="31" xfId="0" applyFont="1" applyFill="1" applyBorder="1" applyAlignment="1">
      <alignment horizontal="center"/>
    </xf>
    <xf numFmtId="0" fontId="17" fillId="0" borderId="32" xfId="0" applyFont="1" applyBorder="1" applyAlignment="1">
      <alignment vertical="center"/>
    </xf>
    <xf numFmtId="37" fontId="27" fillId="0" borderId="6" xfId="0" applyNumberFormat="1" applyFont="1" applyBorder="1" applyAlignment="1">
      <alignment vertical="center"/>
    </xf>
    <xf numFmtId="3" fontId="36" fillId="0" borderId="6" xfId="0" applyNumberFormat="1" applyFont="1" applyBorder="1" applyAlignment="1">
      <alignment horizontal="right" vertical="center"/>
    </xf>
    <xf numFmtId="0" fontId="37" fillId="0" borderId="32" xfId="0" applyFont="1" applyBorder="1" applyAlignment="1">
      <alignment vertical="center"/>
    </xf>
    <xf numFmtId="4" fontId="17" fillId="0" borderId="6" xfId="0" applyNumberFormat="1" applyFont="1" applyBorder="1" applyAlignment="1">
      <alignment vertical="center"/>
    </xf>
    <xf numFmtId="0" fontId="27" fillId="0" borderId="32" xfId="0" applyFont="1" applyBorder="1" applyAlignment="1">
      <alignment horizontal="left" vertical="center"/>
    </xf>
    <xf numFmtId="4" fontId="38" fillId="0" borderId="6" xfId="0" applyNumberFormat="1" applyFont="1" applyBorder="1" applyAlignment="1">
      <alignment vertical="center"/>
    </xf>
    <xf numFmtId="3" fontId="27" fillId="0" borderId="6" xfId="0" applyNumberFormat="1" applyFont="1" applyBorder="1" applyAlignment="1">
      <alignment vertical="center"/>
    </xf>
    <xf numFmtId="3" fontId="28" fillId="0" borderId="0" xfId="0" applyNumberFormat="1" applyFont="1" applyAlignment="1">
      <alignment vertical="center"/>
    </xf>
    <xf numFmtId="0" fontId="17" fillId="0" borderId="32" xfId="0" applyFont="1" applyBorder="1" applyAlignment="1">
      <alignment horizontal="left" vertical="center"/>
    </xf>
    <xf numFmtId="3" fontId="17" fillId="0" borderId="6" xfId="0" applyNumberFormat="1" applyFont="1" applyBorder="1" applyAlignment="1">
      <alignment vertical="center"/>
    </xf>
    <xf numFmtId="0" fontId="27" fillId="0" borderId="32" xfId="0" applyFont="1" applyBorder="1" applyAlignment="1">
      <alignment vertical="center"/>
    </xf>
    <xf numFmtId="3" fontId="38" fillId="0" borderId="6" xfId="0" applyNumberFormat="1" applyFont="1" applyBorder="1" applyAlignment="1">
      <alignment vertical="center"/>
    </xf>
    <xf numFmtId="3" fontId="36" fillId="0" borderId="6" xfId="0" applyNumberFormat="1" applyFont="1" applyBorder="1" applyAlignment="1">
      <alignment vertical="center"/>
    </xf>
    <xf numFmtId="0" fontId="19" fillId="0" borderId="32" xfId="0" applyFont="1" applyBorder="1" applyAlignment="1">
      <alignment vertical="center"/>
    </xf>
    <xf numFmtId="3" fontId="19" fillId="0" borderId="6" xfId="0" applyNumberFormat="1" applyFont="1" applyBorder="1" applyAlignment="1">
      <alignment vertical="center"/>
    </xf>
    <xf numFmtId="0" fontId="39" fillId="0" borderId="32" xfId="0" applyFont="1" applyBorder="1" applyAlignment="1">
      <alignment vertical="center"/>
    </xf>
    <xf numFmtId="4" fontId="40" fillId="0" borderId="6" xfId="0" applyNumberFormat="1" applyFont="1" applyBorder="1" applyAlignment="1">
      <alignment vertical="center"/>
    </xf>
    <xf numFmtId="0" fontId="41" fillId="0" borderId="32" xfId="0" applyFont="1" applyBorder="1" applyAlignment="1">
      <alignment vertical="center"/>
    </xf>
    <xf numFmtId="4" fontId="41" fillId="0" borderId="6" xfId="0" applyNumberFormat="1" applyFont="1" applyBorder="1" applyAlignment="1">
      <alignment vertical="center"/>
    </xf>
    <xf numFmtId="0" fontId="41" fillId="0" borderId="33" xfId="0" applyFont="1" applyBorder="1" applyAlignment="1">
      <alignment vertical="center"/>
    </xf>
    <xf numFmtId="4" fontId="41" fillId="0" borderId="34" xfId="0" applyNumberFormat="1" applyFont="1" applyBorder="1" applyAlignment="1">
      <alignment vertical="center"/>
    </xf>
    <xf numFmtId="4" fontId="28" fillId="0" borderId="0" xfId="0" applyNumberFormat="1" applyFont="1" applyAlignment="1">
      <alignment vertical="center"/>
    </xf>
    <xf numFmtId="0" fontId="16" fillId="8" borderId="6" xfId="0" applyFont="1" applyFill="1" applyBorder="1" applyAlignment="1">
      <alignment wrapText="1"/>
    </xf>
    <xf numFmtId="0" fontId="19" fillId="0" borderId="6" xfId="0" applyFont="1" applyBorder="1" applyAlignment="1">
      <alignment wrapText="1"/>
    </xf>
    <xf numFmtId="164" fontId="18" fillId="0" borderId="6" xfId="0" applyNumberFormat="1" applyFont="1" applyBorder="1" applyAlignment="1">
      <alignment wrapText="1"/>
    </xf>
    <xf numFmtId="0" fontId="18" fillId="0" borderId="6" xfId="0" applyFont="1" applyBorder="1" applyAlignment="1">
      <alignment horizontal="left" wrapText="1"/>
    </xf>
    <xf numFmtId="164" fontId="19" fillId="0" borderId="6" xfId="0" applyNumberFormat="1" applyFont="1" applyBorder="1" applyAlignment="1">
      <alignment wrapText="1"/>
    </xf>
    <xf numFmtId="0" fontId="18" fillId="0" borderId="6" xfId="0" applyFont="1" applyBorder="1" applyAlignment="1">
      <alignment wrapText="1"/>
    </xf>
    <xf numFmtId="0" fontId="18" fillId="0" borderId="6" xfId="0" applyFont="1" applyBorder="1" applyAlignment="1">
      <alignment horizontal="right" wrapText="1"/>
    </xf>
    <xf numFmtId="165" fontId="18" fillId="0" borderId="6" xfId="0" applyNumberFormat="1" applyFont="1" applyBorder="1" applyAlignment="1">
      <alignment wrapText="1"/>
    </xf>
    <xf numFmtId="0" fontId="19" fillId="0" borderId="6" xfId="0" applyFont="1" applyBorder="1" applyAlignment="1">
      <alignment horizontal="right" wrapText="1"/>
    </xf>
    <xf numFmtId="164" fontId="18" fillId="11" borderId="6" xfId="0" applyNumberFormat="1" applyFont="1" applyFill="1" applyBorder="1" applyAlignment="1">
      <alignment wrapText="1"/>
    </xf>
    <xf numFmtId="0" fontId="19" fillId="0" borderId="6" xfId="0" applyFont="1" applyBorder="1" applyAlignment="1">
      <alignment horizontal="left" wrapText="1"/>
    </xf>
    <xf numFmtId="0" fontId="43" fillId="0" borderId="0" xfId="0" applyFont="1"/>
    <xf numFmtId="0" fontId="30" fillId="9" borderId="6" xfId="0" applyFont="1" applyFill="1" applyBorder="1" applyAlignment="1">
      <alignment horizontal="left"/>
    </xf>
    <xf numFmtId="0" fontId="44" fillId="9" borderId="6" xfId="0" applyFont="1" applyFill="1" applyBorder="1" applyAlignment="1">
      <alignment horizontal="center"/>
    </xf>
    <xf numFmtId="0" fontId="45" fillId="9" borderId="35" xfId="0" applyFont="1" applyFill="1" applyBorder="1" applyAlignment="1">
      <alignment horizontal="center"/>
    </xf>
    <xf numFmtId="4" fontId="18" fillId="0" borderId="6" xfId="0" applyNumberFormat="1" applyFont="1" applyBorder="1"/>
    <xf numFmtId="171" fontId="18" fillId="0" borderId="6" xfId="0" applyNumberFormat="1" applyFont="1" applyBorder="1"/>
    <xf numFmtId="10" fontId="18" fillId="0" borderId="6" xfId="0" applyNumberFormat="1" applyFont="1" applyBorder="1"/>
    <xf numFmtId="0" fontId="18" fillId="0" borderId="6" xfId="0" quotePrefix="1" applyFont="1" applyBorder="1" applyAlignment="1">
      <alignment horizontal="left"/>
    </xf>
    <xf numFmtId="4" fontId="46" fillId="0" borderId="6" xfId="0" applyNumberFormat="1" applyFont="1" applyBorder="1"/>
    <xf numFmtId="4" fontId="0" fillId="0" borderId="6" xfId="0" applyNumberFormat="1" applyFont="1" applyBorder="1"/>
    <xf numFmtId="4" fontId="0" fillId="0" borderId="0" xfId="0" applyNumberFormat="1" applyFont="1"/>
    <xf numFmtId="10" fontId="0" fillId="0" borderId="0" xfId="0" applyNumberFormat="1" applyFont="1"/>
    <xf numFmtId="0" fontId="30" fillId="9" borderId="6" xfId="0" applyFont="1" applyFill="1" applyBorder="1"/>
    <xf numFmtId="0" fontId="30" fillId="9" borderId="6" xfId="0" applyFont="1" applyFill="1" applyBorder="1" applyAlignment="1">
      <alignment horizontal="center"/>
    </xf>
    <xf numFmtId="2" fontId="18" fillId="0" borderId="6" xfId="0" applyNumberFormat="1" applyFont="1" applyBorder="1"/>
    <xf numFmtId="10" fontId="19" fillId="0" borderId="0" xfId="0" applyNumberFormat="1" applyFont="1"/>
    <xf numFmtId="3" fontId="18" fillId="0" borderId="6" xfId="0" applyNumberFormat="1" applyFont="1" applyBorder="1"/>
    <xf numFmtId="0" fontId="46" fillId="0" borderId="6" xfId="0" applyFont="1" applyBorder="1"/>
    <xf numFmtId="0" fontId="46" fillId="0" borderId="0" xfId="0" applyFont="1"/>
    <xf numFmtId="172" fontId="18" fillId="0" borderId="0" xfId="0" applyNumberFormat="1" applyFont="1"/>
    <xf numFmtId="0" fontId="49" fillId="9" borderId="6" xfId="0" applyFont="1" applyFill="1" applyBorder="1" applyAlignment="1">
      <alignment horizontal="center"/>
    </xf>
    <xf numFmtId="0" fontId="50" fillId="0" borderId="6" xfId="0" applyFont="1" applyBorder="1" applyAlignment="1">
      <alignment horizontal="center"/>
    </xf>
    <xf numFmtId="0" fontId="51" fillId="0" borderId="6" xfId="0" applyFont="1" applyBorder="1" applyAlignment="1">
      <alignment horizontal="center"/>
    </xf>
    <xf numFmtId="0" fontId="19" fillId="0" borderId="6" xfId="0" applyFont="1" applyBorder="1" applyAlignment="1">
      <alignment horizontal="center" vertical="center"/>
    </xf>
    <xf numFmtId="0" fontId="18" fillId="0" borderId="6" xfId="0" applyFont="1" applyBorder="1" applyAlignment="1">
      <alignment horizontal="center"/>
    </xf>
    <xf numFmtId="0" fontId="17" fillId="0" borderId="6" xfId="0" applyFont="1" applyBorder="1" applyAlignment="1">
      <alignment horizontal="center"/>
    </xf>
    <xf numFmtId="164" fontId="18" fillId="0" borderId="6" xfId="0" applyNumberFormat="1" applyFont="1" applyBorder="1" applyAlignment="1">
      <alignment horizontal="center"/>
    </xf>
    <xf numFmtId="164" fontId="0" fillId="0" borderId="6" xfId="0" applyNumberFormat="1" applyFont="1" applyBorder="1"/>
    <xf numFmtId="0" fontId="0" fillId="0" borderId="6" xfId="0" applyFont="1" applyBorder="1" applyAlignment="1">
      <alignment horizontal="center" vertical="center"/>
    </xf>
    <xf numFmtId="164" fontId="6" fillId="0" borderId="6" xfId="0" applyNumberFormat="1" applyFont="1" applyBorder="1"/>
    <xf numFmtId="2" fontId="6" fillId="0" borderId="6" xfId="0" applyNumberFormat="1" applyFont="1" applyBorder="1"/>
    <xf numFmtId="2" fontId="6" fillId="0" borderId="0" xfId="0" applyNumberFormat="1" applyFont="1"/>
    <xf numFmtId="2" fontId="19" fillId="0" borderId="6" xfId="0" applyNumberFormat="1" applyFont="1" applyBorder="1"/>
    <xf numFmtId="9" fontId="6" fillId="6" borderId="23" xfId="0" applyNumberFormat="1" applyFont="1" applyFill="1" applyBorder="1"/>
    <xf numFmtId="173" fontId="18" fillId="0" borderId="0" xfId="0" applyNumberFormat="1" applyFont="1"/>
    <xf numFmtId="173" fontId="18" fillId="0" borderId="6" xfId="0" applyNumberFormat="1" applyFont="1" applyBorder="1"/>
    <xf numFmtId="174" fontId="18" fillId="0" borderId="6" xfId="0" applyNumberFormat="1" applyFont="1" applyBorder="1"/>
    <xf numFmtId="43" fontId="18" fillId="0" borderId="6" xfId="0" applyNumberFormat="1" applyFont="1" applyBorder="1"/>
    <xf numFmtId="172" fontId="19" fillId="0" borderId="6" xfId="0" applyNumberFormat="1" applyFont="1" applyBorder="1"/>
    <xf numFmtId="173" fontId="19" fillId="0" borderId="6" xfId="0" applyNumberFormat="1" applyFont="1" applyBorder="1"/>
    <xf numFmtId="0" fontId="52" fillId="0" borderId="0" xfId="0" applyFont="1"/>
    <xf numFmtId="0" fontId="53" fillId="9" borderId="6" xfId="0" applyFont="1" applyFill="1" applyBorder="1"/>
    <xf numFmtId="0" fontId="53" fillId="9" borderId="6" xfId="0" applyFont="1" applyFill="1" applyBorder="1" applyAlignment="1">
      <alignment horizontal="center"/>
    </xf>
    <xf numFmtId="0" fontId="53" fillId="0" borderId="0" xfId="0" applyFont="1" applyAlignment="1">
      <alignment horizontal="center"/>
    </xf>
    <xf numFmtId="0" fontId="0" fillId="5" borderId="6" xfId="0" applyFont="1" applyFill="1" applyBorder="1"/>
    <xf numFmtId="1" fontId="0" fillId="0" borderId="0" xfId="0" applyNumberFormat="1" applyFont="1"/>
    <xf numFmtId="0" fontId="6" fillId="0" borderId="6" xfId="0" applyFont="1" applyBorder="1"/>
    <xf numFmtId="164" fontId="6" fillId="0" borderId="0" xfId="0" applyNumberFormat="1" applyFont="1"/>
    <xf numFmtId="0" fontId="6" fillId="5" borderId="6" xfId="0" applyFont="1" applyFill="1" applyBorder="1"/>
    <xf numFmtId="175" fontId="0" fillId="0" borderId="0" xfId="0" applyNumberFormat="1" applyFont="1"/>
    <xf numFmtId="0" fontId="53" fillId="9" borderId="6" xfId="0" applyFont="1" applyFill="1" applyBorder="1" applyAlignment="1">
      <alignment wrapText="1"/>
    </xf>
    <xf numFmtId="0" fontId="6" fillId="0" borderId="24" xfId="0" applyFont="1" applyBorder="1" applyAlignment="1">
      <alignment wrapText="1"/>
    </xf>
    <xf numFmtId="9" fontId="0" fillId="5" borderId="6" xfId="0" applyNumberFormat="1" applyFont="1" applyFill="1" applyBorder="1"/>
    <xf numFmtId="0" fontId="0" fillId="6" borderId="6" xfId="0" applyFont="1" applyFill="1" applyBorder="1"/>
    <xf numFmtId="9" fontId="0" fillId="6" borderId="6" xfId="0" applyNumberFormat="1" applyFont="1" applyFill="1" applyBorder="1"/>
    <xf numFmtId="0" fontId="0" fillId="0" borderId="9" xfId="0" applyFont="1" applyBorder="1" applyAlignment="1">
      <alignment horizontal="center" vertical="center"/>
    </xf>
    <xf numFmtId="0" fontId="0" fillId="0" borderId="8" xfId="0" applyFont="1" applyBorder="1" applyAlignment="1">
      <alignment vertical="center" wrapText="1"/>
    </xf>
    <xf numFmtId="0" fontId="0" fillId="0" borderId="9" xfId="0" applyFont="1" applyBorder="1" applyAlignment="1">
      <alignment vertical="center" wrapText="1"/>
    </xf>
    <xf numFmtId="9" fontId="53" fillId="6" borderId="6" xfId="0" applyNumberFormat="1" applyFont="1" applyFill="1" applyBorder="1"/>
    <xf numFmtId="9" fontId="53" fillId="6" borderId="6" xfId="0" applyNumberFormat="1" applyFont="1" applyFill="1" applyBorder="1" applyAlignment="1">
      <alignment horizontal="center"/>
    </xf>
    <xf numFmtId="9" fontId="54" fillId="6" borderId="6" xfId="0" applyNumberFormat="1" applyFont="1" applyFill="1" applyBorder="1"/>
    <xf numFmtId="175" fontId="54" fillId="6" borderId="6" xfId="0" applyNumberFormat="1" applyFont="1" applyFill="1" applyBorder="1"/>
    <xf numFmtId="0" fontId="6" fillId="0" borderId="9" xfId="0" applyFont="1" applyBorder="1" applyAlignment="1">
      <alignment horizontal="center" vertical="center"/>
    </xf>
    <xf numFmtId="0" fontId="18" fillId="5" borderId="23" xfId="0" applyFont="1" applyFill="1" applyBorder="1"/>
    <xf numFmtId="9" fontId="0" fillId="0" borderId="6" xfId="0" applyNumberFormat="1" applyFont="1" applyBorder="1"/>
    <xf numFmtId="165" fontId="19" fillId="0" borderId="6" xfId="0" applyNumberFormat="1" applyFont="1" applyBorder="1"/>
    <xf numFmtId="0" fontId="19" fillId="6" borderId="6" xfId="0" applyFont="1" applyFill="1" applyBorder="1"/>
    <xf numFmtId="9" fontId="19" fillId="6" borderId="6" xfId="0" applyNumberFormat="1" applyFont="1" applyFill="1" applyBorder="1"/>
    <xf numFmtId="165" fontId="19" fillId="6" borderId="6" xfId="0" applyNumberFormat="1" applyFont="1" applyFill="1" applyBorder="1"/>
    <xf numFmtId="165" fontId="18" fillId="0" borderId="6" xfId="0" applyNumberFormat="1" applyFont="1" applyBorder="1"/>
    <xf numFmtId="9" fontId="19" fillId="0" borderId="0" xfId="0" applyNumberFormat="1" applyFont="1" applyAlignment="1">
      <alignment horizontal="center"/>
    </xf>
    <xf numFmtId="10" fontId="19" fillId="0" borderId="0" xfId="0" applyNumberFormat="1" applyFont="1" applyAlignment="1">
      <alignment horizontal="center"/>
    </xf>
    <xf numFmtId="164" fontId="19" fillId="5" borderId="6" xfId="0" applyNumberFormat="1" applyFont="1" applyFill="1" applyBorder="1"/>
    <xf numFmtId="173" fontId="19" fillId="5" borderId="6" xfId="0" applyNumberFormat="1" applyFont="1" applyFill="1" applyBorder="1"/>
    <xf numFmtId="43" fontId="18" fillId="0" borderId="0" xfId="0" applyNumberFormat="1" applyFont="1"/>
    <xf numFmtId="1" fontId="18" fillId="0" borderId="6" xfId="0" applyNumberFormat="1" applyFont="1" applyBorder="1"/>
    <xf numFmtId="0" fontId="18" fillId="6" borderId="6" xfId="0" applyFont="1" applyFill="1" applyBorder="1"/>
    <xf numFmtId="0" fontId="18" fillId="5" borderId="6" xfId="0" applyFont="1" applyFill="1" applyBorder="1" applyAlignment="1">
      <alignment wrapText="1"/>
    </xf>
    <xf numFmtId="166" fontId="18" fillId="5" borderId="23" xfId="0" applyNumberFormat="1" applyFont="1" applyFill="1" applyBorder="1"/>
    <xf numFmtId="166" fontId="18" fillId="0" borderId="0" xfId="0" applyNumberFormat="1" applyFont="1"/>
    <xf numFmtId="1" fontId="18" fillId="0" borderId="0" xfId="0" applyNumberFormat="1" applyFont="1"/>
    <xf numFmtId="0" fontId="53" fillId="9" borderId="10" xfId="0" applyFont="1" applyFill="1" applyBorder="1" applyAlignment="1">
      <alignment wrapText="1"/>
    </xf>
    <xf numFmtId="0" fontId="0" fillId="0" borderId="6" xfId="0" applyFont="1" applyBorder="1" applyAlignment="1">
      <alignment horizontal="center"/>
    </xf>
    <xf numFmtId="164" fontId="18" fillId="5" borderId="6" xfId="0" applyNumberFormat="1" applyFont="1" applyFill="1" applyBorder="1" applyAlignment="1">
      <alignment wrapText="1"/>
    </xf>
    <xf numFmtId="164" fontId="19" fillId="0" borderId="0" xfId="0" applyNumberFormat="1" applyFont="1"/>
    <xf numFmtId="165" fontId="18" fillId="5" borderId="6" xfId="0" applyNumberFormat="1" applyFont="1" applyFill="1" applyBorder="1"/>
    <xf numFmtId="165" fontId="18" fillId="0" borderId="0" xfId="0" applyNumberFormat="1" applyFont="1"/>
    <xf numFmtId="164" fontId="18" fillId="0" borderId="4" xfId="0" applyNumberFormat="1" applyFont="1" applyBorder="1"/>
    <xf numFmtId="0" fontId="59" fillId="12" borderId="37" xfId="0" applyFont="1" applyFill="1" applyBorder="1" applyAlignment="1">
      <alignment vertical="center" wrapText="1"/>
    </xf>
    <xf numFmtId="0" fontId="60" fillId="12" borderId="37" xfId="0" applyFont="1" applyFill="1" applyBorder="1" applyAlignment="1">
      <alignment vertical="center" wrapText="1"/>
    </xf>
    <xf numFmtId="164" fontId="59" fillId="12" borderId="37" xfId="1" applyNumberFormat="1" applyFont="1" applyFill="1" applyBorder="1" applyAlignment="1">
      <alignment horizontal="left" vertical="center" wrapText="1"/>
    </xf>
    <xf numFmtId="164" fontId="59" fillId="12" borderId="37" xfId="1" applyNumberFormat="1" applyFont="1" applyFill="1" applyBorder="1" applyAlignment="1">
      <alignment vertical="center" wrapText="1"/>
    </xf>
    <xf numFmtId="164" fontId="59" fillId="12" borderId="37" xfId="1" applyNumberFormat="1" applyFont="1" applyFill="1" applyBorder="1" applyAlignment="1">
      <alignment horizontal="right" vertical="center" wrapText="1"/>
    </xf>
    <xf numFmtId="0" fontId="61" fillId="12" borderId="37" xfId="0" applyFont="1" applyFill="1" applyBorder="1" applyAlignment="1">
      <alignment vertical="center" wrapText="1"/>
    </xf>
    <xf numFmtId="0" fontId="61" fillId="12" borderId="37" xfId="0" applyFont="1" applyFill="1" applyBorder="1" applyAlignment="1">
      <alignment horizontal="center" vertical="center" wrapText="1"/>
    </xf>
    <xf numFmtId="164" fontId="61" fillId="12" borderId="37" xfId="1" applyNumberFormat="1" applyFont="1" applyFill="1" applyBorder="1" applyAlignment="1">
      <alignment horizontal="right" vertical="center" wrapText="1"/>
    </xf>
    <xf numFmtId="177" fontId="62" fillId="12" borderId="37" xfId="2" applyNumberFormat="1" applyFont="1" applyFill="1" applyBorder="1" applyAlignment="1">
      <alignment horizontal="right" vertical="center" wrapText="1"/>
    </xf>
    <xf numFmtId="0" fontId="62" fillId="12" borderId="37" xfId="0" applyFont="1" applyFill="1" applyBorder="1" applyAlignment="1">
      <alignment vertical="center" wrapText="1"/>
    </xf>
    <xf numFmtId="0" fontId="62" fillId="12" borderId="37" xfId="0" applyFont="1" applyFill="1" applyBorder="1" applyAlignment="1">
      <alignment horizontal="center" vertical="center" wrapText="1"/>
    </xf>
    <xf numFmtId="164" fontId="62" fillId="12" borderId="37" xfId="1" applyNumberFormat="1" applyFont="1" applyFill="1" applyBorder="1" applyAlignment="1">
      <alignment horizontal="right" vertical="center" wrapText="1"/>
    </xf>
    <xf numFmtId="177" fontId="61" fillId="12" borderId="37" xfId="2" applyNumberFormat="1" applyFont="1" applyFill="1" applyBorder="1" applyAlignment="1">
      <alignment horizontal="right" vertical="center" wrapText="1"/>
    </xf>
    <xf numFmtId="0" fontId="62" fillId="12" borderId="23" xfId="0" applyFont="1" applyFill="1" applyBorder="1" applyAlignment="1">
      <alignment vertical="center" wrapText="1"/>
    </xf>
    <xf numFmtId="0" fontId="62" fillId="12" borderId="23" xfId="0" applyFont="1" applyFill="1" applyBorder="1" applyAlignment="1">
      <alignment horizontal="center" vertical="center" wrapText="1"/>
    </xf>
    <xf numFmtId="177" fontId="62" fillId="12" borderId="23" xfId="2" applyNumberFormat="1" applyFont="1" applyFill="1" applyBorder="1" applyAlignment="1">
      <alignment horizontal="right" vertical="center" wrapText="1"/>
    </xf>
    <xf numFmtId="0" fontId="60" fillId="12" borderId="37" xfId="0" applyFont="1" applyFill="1" applyBorder="1"/>
    <xf numFmtId="165" fontId="61" fillId="5" borderId="6" xfId="0" applyNumberFormat="1" applyFont="1" applyFill="1" applyBorder="1" applyAlignment="1">
      <alignment horizontal="right" vertical="center" wrapText="1"/>
    </xf>
    <xf numFmtId="0" fontId="63" fillId="12" borderId="37" xfId="0" applyFont="1" applyFill="1" applyBorder="1" applyAlignment="1">
      <alignment vertical="center" wrapText="1"/>
    </xf>
    <xf numFmtId="0" fontId="63" fillId="12" borderId="37" xfId="0" applyFont="1" applyFill="1" applyBorder="1" applyAlignment="1">
      <alignment horizontal="center" vertical="center" wrapText="1"/>
    </xf>
    <xf numFmtId="177" fontId="63" fillId="12" borderId="37" xfId="2" applyNumberFormat="1" applyFont="1" applyFill="1" applyBorder="1" applyAlignment="1">
      <alignment horizontal="center" vertical="center" wrapText="1"/>
    </xf>
    <xf numFmtId="177" fontId="63" fillId="12" borderId="37" xfId="2" applyNumberFormat="1" applyFont="1" applyFill="1" applyBorder="1" applyAlignment="1">
      <alignment horizontal="right" vertical="center" wrapText="1"/>
    </xf>
    <xf numFmtId="0" fontId="62" fillId="12" borderId="38" xfId="0" applyFont="1" applyFill="1" applyBorder="1" applyAlignment="1">
      <alignment horizontal="right" vertical="center" wrapText="1"/>
    </xf>
    <xf numFmtId="0" fontId="62" fillId="12" borderId="39" xfId="0" applyFont="1" applyFill="1" applyBorder="1" applyAlignment="1">
      <alignment vertical="center" wrapText="1"/>
    </xf>
    <xf numFmtId="177" fontId="62" fillId="12" borderId="39" xfId="2" applyNumberFormat="1" applyFont="1" applyFill="1" applyBorder="1" applyAlignment="1">
      <alignment horizontal="right" vertical="center" wrapText="1"/>
    </xf>
    <xf numFmtId="177" fontId="0" fillId="0" borderId="0" xfId="0" applyNumberFormat="1" applyFont="1" applyAlignment="1"/>
    <xf numFmtId="165" fontId="0" fillId="0" borderId="0" xfId="0" applyNumberFormat="1" applyFont="1" applyAlignment="1"/>
    <xf numFmtId="0" fontId="58" fillId="5" borderId="6" xfId="0" applyFont="1" applyFill="1" applyBorder="1"/>
    <xf numFmtId="9" fontId="64" fillId="6" borderId="28" xfId="0" applyNumberFormat="1" applyFont="1" applyFill="1" applyBorder="1" applyAlignment="1"/>
    <xf numFmtId="9" fontId="57" fillId="14" borderId="37" xfId="0" applyNumberFormat="1" applyFont="1" applyFill="1" applyBorder="1"/>
    <xf numFmtId="0" fontId="57" fillId="13" borderId="37" xfId="0" applyFont="1" applyFill="1" applyBorder="1" applyAlignment="1">
      <alignment horizontal="center"/>
    </xf>
    <xf numFmtId="0" fontId="0" fillId="0" borderId="37" xfId="0" applyBorder="1"/>
    <xf numFmtId="0" fontId="0" fillId="0" borderId="0" xfId="0"/>
    <xf numFmtId="1" fontId="0" fillId="0" borderId="0" xfId="0" applyNumberFormat="1" applyFont="1" applyAlignment="1"/>
    <xf numFmtId="0" fontId="62" fillId="0" borderId="6" xfId="0" applyFont="1" applyBorder="1"/>
    <xf numFmtId="0" fontId="60" fillId="0" borderId="37" xfId="0" applyFont="1" applyBorder="1"/>
    <xf numFmtId="0" fontId="61" fillId="0" borderId="6" xfId="0" applyFont="1" applyBorder="1"/>
    <xf numFmtId="0" fontId="62" fillId="5" borderId="6" xfId="0" applyFont="1" applyFill="1" applyBorder="1"/>
    <xf numFmtId="0" fontId="62" fillId="0" borderId="0" xfId="0" applyFont="1"/>
    <xf numFmtId="164" fontId="60" fillId="12" borderId="37" xfId="1" applyNumberFormat="1" applyFont="1" applyFill="1" applyBorder="1"/>
    <xf numFmtId="164" fontId="60" fillId="0" borderId="37" xfId="1" applyNumberFormat="1" applyFont="1" applyBorder="1"/>
    <xf numFmtId="0" fontId="62" fillId="0" borderId="6" xfId="0" applyFont="1" applyBorder="1" applyAlignment="1">
      <alignment vertical="center" wrapText="1"/>
    </xf>
    <xf numFmtId="0" fontId="61" fillId="5" borderId="6" xfId="0" applyFont="1" applyFill="1" applyBorder="1" applyAlignment="1">
      <alignment vertical="center" wrapText="1"/>
    </xf>
    <xf numFmtId="0" fontId="61" fillId="5" borderId="6" xfId="0" applyFont="1" applyFill="1" applyBorder="1" applyAlignment="1">
      <alignment horizontal="center" vertical="center" wrapText="1"/>
    </xf>
    <xf numFmtId="164" fontId="0" fillId="0" borderId="0" xfId="0" applyNumberFormat="1" applyFont="1" applyAlignment="1"/>
    <xf numFmtId="0" fontId="8" fillId="0" borderId="0" xfId="0" applyFont="1" applyAlignment="1">
      <alignment horizontal="left" vertical="center" wrapText="1"/>
    </xf>
    <xf numFmtId="0" fontId="0" fillId="0" borderId="0" xfId="0" applyFont="1" applyAlignment="1"/>
    <xf numFmtId="0" fontId="2" fillId="0" borderId="1" xfId="0" applyFont="1" applyBorder="1" applyAlignment="1">
      <alignment horizontal="center" vertical="center" wrapText="1"/>
    </xf>
    <xf numFmtId="0" fontId="3" fillId="0" borderId="1" xfId="0" applyFont="1" applyBorder="1"/>
    <xf numFmtId="0" fontId="4"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5" fillId="3"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8" xfId="0" applyFont="1" applyBorder="1" applyAlignment="1">
      <alignment horizontal="left" vertical="center" wrapText="1"/>
    </xf>
    <xf numFmtId="0" fontId="3" fillId="0" borderId="7" xfId="0" applyFont="1" applyBorder="1"/>
    <xf numFmtId="0" fontId="3" fillId="0" borderId="9" xfId="0" applyFont="1" applyBorder="1"/>
    <xf numFmtId="0" fontId="0" fillId="0" borderId="3" xfId="0" applyFont="1" applyBorder="1" applyAlignment="1">
      <alignment horizontal="center" vertical="center" wrapText="1"/>
    </xf>
    <xf numFmtId="0" fontId="5" fillId="4" borderId="2" xfId="0" applyFont="1" applyFill="1" applyBorder="1" applyAlignment="1">
      <alignment horizontal="left" vertical="center" wrapText="1"/>
    </xf>
    <xf numFmtId="0" fontId="6" fillId="0" borderId="2" xfId="0" applyFont="1" applyBorder="1" applyAlignment="1">
      <alignment horizontal="left" vertical="center" wrapText="1"/>
    </xf>
    <xf numFmtId="0" fontId="10" fillId="9" borderId="12" xfId="0" applyFont="1" applyFill="1" applyBorder="1" applyAlignment="1">
      <alignment horizontal="center" vertical="center" wrapText="1"/>
    </xf>
    <xf numFmtId="0" fontId="3" fillId="0" borderId="13" xfId="0" applyFont="1" applyBorder="1"/>
    <xf numFmtId="0" fontId="9" fillId="0" borderId="0" xfId="0" applyFont="1" applyAlignment="1">
      <alignment horizontal="center"/>
    </xf>
    <xf numFmtId="0" fontId="13" fillId="0" borderId="2" xfId="0" applyFont="1" applyBorder="1" applyAlignment="1">
      <alignment horizontal="center" vertical="center" wrapText="1"/>
    </xf>
    <xf numFmtId="0" fontId="6" fillId="0" borderId="0" xfId="0" applyFont="1" applyAlignment="1">
      <alignment horizontal="center"/>
    </xf>
    <xf numFmtId="0" fontId="14" fillId="0" borderId="0" xfId="0" applyFont="1" applyAlignment="1">
      <alignment horizontal="center" wrapText="1"/>
    </xf>
    <xf numFmtId="0" fontId="19" fillId="0" borderId="2" xfId="0" applyFont="1" applyBorder="1" applyAlignment="1">
      <alignment horizontal="center" vertical="center" wrapText="1"/>
    </xf>
    <xf numFmtId="0" fontId="19" fillId="5" borderId="42" xfId="0" applyFont="1" applyFill="1" applyBorder="1" applyAlignment="1">
      <alignment horizontal="center" vertical="center" wrapText="1"/>
    </xf>
    <xf numFmtId="0" fontId="19" fillId="5" borderId="43" xfId="0" applyFont="1" applyFill="1" applyBorder="1" applyAlignment="1">
      <alignment horizontal="center" vertical="center" wrapText="1"/>
    </xf>
    <xf numFmtId="0" fontId="61" fillId="12" borderId="37" xfId="0" applyFont="1" applyFill="1" applyBorder="1" applyAlignment="1">
      <alignment horizontal="center" vertical="center" wrapText="1"/>
    </xf>
    <xf numFmtId="0" fontId="21" fillId="0" borderId="2" xfId="0" applyFont="1" applyBorder="1" applyAlignment="1">
      <alignment horizontal="center" vertical="center" wrapText="1"/>
    </xf>
    <xf numFmtId="0" fontId="19" fillId="5" borderId="2"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22" fillId="0" borderId="0" xfId="0" applyFont="1" applyAlignment="1">
      <alignment horizontal="center" wrapText="1"/>
    </xf>
    <xf numFmtId="0" fontId="6" fillId="6" borderId="14" xfId="0" applyFont="1" applyFill="1" applyBorder="1" applyAlignment="1">
      <alignment horizontal="center"/>
    </xf>
    <xf numFmtId="0" fontId="3" fillId="0" borderId="15" xfId="0" applyFont="1" applyBorder="1"/>
    <xf numFmtId="0" fontId="3" fillId="0" borderId="16" xfId="0" applyFont="1" applyBorder="1"/>
    <xf numFmtId="0" fontId="65" fillId="0" borderId="0" xfId="0" applyFont="1" applyAlignment="1">
      <alignment horizontal="center"/>
    </xf>
    <xf numFmtId="0" fontId="24" fillId="0" borderId="0" xfId="0" applyFont="1" applyAlignment="1">
      <alignment horizontal="center"/>
    </xf>
    <xf numFmtId="0" fontId="23" fillId="0" borderId="0" xfId="0" applyFont="1" applyAlignment="1">
      <alignment horizontal="center" vertical="center" wrapText="1"/>
    </xf>
    <xf numFmtId="0" fontId="23" fillId="0" borderId="0" xfId="0" applyFont="1" applyAlignment="1">
      <alignment horizontal="center"/>
    </xf>
    <xf numFmtId="0" fontId="19" fillId="0" borderId="1" xfId="0" applyFont="1" applyBorder="1" applyAlignment="1">
      <alignment horizontal="center"/>
    </xf>
    <xf numFmtId="0" fontId="6" fillId="0" borderId="1" xfId="0" applyFont="1" applyBorder="1" applyAlignment="1">
      <alignment horizontal="center"/>
    </xf>
    <xf numFmtId="0" fontId="66" fillId="0" borderId="0" xfId="0" applyFont="1" applyAlignment="1">
      <alignment horizontal="center"/>
    </xf>
    <xf numFmtId="0" fontId="3" fillId="0" borderId="25" xfId="0" applyFont="1" applyBorder="1"/>
    <xf numFmtId="0" fontId="6" fillId="0" borderId="0" xfId="0" applyFont="1" applyAlignment="1">
      <alignment horizontal="center" wrapText="1"/>
    </xf>
    <xf numFmtId="0" fontId="32" fillId="0" borderId="0" xfId="0" applyFont="1" applyAlignment="1">
      <alignment horizontal="center" wrapText="1"/>
    </xf>
    <xf numFmtId="0" fontId="27" fillId="5" borderId="26" xfId="0" applyFont="1" applyFill="1" applyBorder="1" applyAlignment="1">
      <alignment horizontal="center"/>
    </xf>
    <xf numFmtId="0" fontId="3" fillId="0" borderId="27" xfId="0" applyFont="1" applyBorder="1"/>
    <xf numFmtId="0" fontId="27" fillId="5" borderId="14" xfId="0" applyFont="1" applyFill="1" applyBorder="1" applyAlignment="1">
      <alignment horizontal="center"/>
    </xf>
    <xf numFmtId="0" fontId="16" fillId="8" borderId="8"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33" fillId="0" borderId="0" xfId="0" applyFont="1" applyAlignment="1">
      <alignment horizontal="center" wrapText="1"/>
    </xf>
    <xf numFmtId="0" fontId="9" fillId="0" borderId="29" xfId="0" applyFont="1" applyBorder="1" applyAlignment="1">
      <alignment horizontal="center"/>
    </xf>
    <xf numFmtId="0" fontId="42" fillId="0" borderId="0" xfId="0" applyFont="1" applyAlignment="1">
      <alignment horizontal="center" wrapText="1"/>
    </xf>
    <xf numFmtId="0" fontId="19" fillId="0" borderId="2" xfId="0" applyFont="1" applyBorder="1" applyAlignment="1">
      <alignment horizontal="center" wrapText="1"/>
    </xf>
    <xf numFmtId="0" fontId="21" fillId="0" borderId="0" xfId="0" applyFont="1" applyAlignment="1">
      <alignment horizontal="center" wrapText="1"/>
    </xf>
    <xf numFmtId="0" fontId="52" fillId="0" borderId="0" xfId="0" applyFont="1" applyAlignment="1">
      <alignment horizontal="center" wrapText="1"/>
    </xf>
    <xf numFmtId="0" fontId="8" fillId="0" borderId="0" xfId="0" applyFont="1" applyAlignment="1">
      <alignment horizontal="center"/>
    </xf>
    <xf numFmtId="4" fontId="18" fillId="0" borderId="2" xfId="0" applyNumberFormat="1" applyFont="1" applyBorder="1" applyAlignment="1">
      <alignment horizontal="center"/>
    </xf>
    <xf numFmtId="0" fontId="22" fillId="0" borderId="0" xfId="0" applyFont="1" applyAlignment="1">
      <alignment horizontal="center"/>
    </xf>
    <xf numFmtId="10" fontId="19" fillId="0" borderId="2" xfId="0" applyNumberFormat="1" applyFont="1" applyBorder="1" applyAlignment="1">
      <alignment horizontal="center"/>
    </xf>
    <xf numFmtId="4" fontId="18" fillId="0" borderId="0" xfId="0" applyNumberFormat="1" applyFont="1" applyAlignment="1">
      <alignment horizontal="center"/>
    </xf>
    <xf numFmtId="0" fontId="47" fillId="0" borderId="0" xfId="0" applyFont="1" applyAlignment="1">
      <alignment horizontal="center" wrapText="1"/>
    </xf>
    <xf numFmtId="0" fontId="48" fillId="0" borderId="0" xfId="0" applyFont="1" applyAlignment="1">
      <alignment horizontal="center" wrapText="1"/>
    </xf>
    <xf numFmtId="0" fontId="9" fillId="0" borderId="36" xfId="0" applyFont="1" applyBorder="1" applyAlignment="1">
      <alignment horizontal="center"/>
    </xf>
    <xf numFmtId="2" fontId="18" fillId="0" borderId="2" xfId="0" applyNumberFormat="1" applyFont="1" applyBorder="1" applyAlignment="1">
      <alignment horizontal="center"/>
    </xf>
    <xf numFmtId="0" fontId="57" fillId="13" borderId="40" xfId="0" applyFont="1" applyFill="1" applyBorder="1" applyAlignment="1">
      <alignment vertical="center"/>
    </xf>
    <xf numFmtId="0" fontId="57" fillId="13" borderId="41" xfId="0" applyFont="1" applyFill="1" applyBorder="1" applyAlignment="1">
      <alignment vertical="center"/>
    </xf>
    <xf numFmtId="0" fontId="24" fillId="0" borderId="2" xfId="0" applyFont="1" applyBorder="1" applyAlignment="1">
      <alignment horizontal="center"/>
    </xf>
    <xf numFmtId="0" fontId="54" fillId="9" borderId="8" xfId="0" applyFont="1" applyFill="1" applyBorder="1" applyAlignment="1">
      <alignment horizontal="left" vertical="center"/>
    </xf>
    <xf numFmtId="0" fontId="23" fillId="0" borderId="2" xfId="0" applyFont="1" applyBorder="1" applyAlignment="1">
      <alignment horizontal="center"/>
    </xf>
    <xf numFmtId="0" fontId="9" fillId="0" borderId="1" xfId="0" applyFont="1" applyBorder="1" applyAlignment="1">
      <alignment horizontal="center"/>
    </xf>
    <xf numFmtId="0" fontId="0" fillId="0" borderId="0" xfId="0" applyFont="1" applyAlignment="1">
      <alignment horizontal="center"/>
    </xf>
    <xf numFmtId="0" fontId="0" fillId="0" borderId="8" xfId="0" applyFont="1" applyBorder="1" applyAlignment="1">
      <alignment horizontal="center" vertical="center"/>
    </xf>
    <xf numFmtId="0" fontId="9" fillId="0" borderId="2" xfId="0" applyFont="1" applyBorder="1" applyAlignment="1">
      <alignment horizontal="center"/>
    </xf>
    <xf numFmtId="0" fontId="53" fillId="9" borderId="8" xfId="0" applyFont="1" applyFill="1" applyBorder="1" applyAlignment="1">
      <alignment horizontal="left" vertical="center"/>
    </xf>
    <xf numFmtId="0" fontId="6" fillId="0" borderId="8" xfId="0" applyFont="1" applyBorder="1" applyAlignment="1">
      <alignment horizontal="center" vertical="center" wrapText="1"/>
    </xf>
    <xf numFmtId="0" fontId="53" fillId="9" borderId="8" xfId="0" applyFont="1" applyFill="1" applyBorder="1" applyAlignment="1">
      <alignment vertical="center"/>
    </xf>
  </cellXfs>
  <cellStyles count="3">
    <cellStyle name="Comma" xfId="1" builtinId="3"/>
    <cellStyle name="Comma 2" xfId="2"/>
    <cellStyle name="Normal" xfId="0" builtinId="0"/>
  </cellStyles>
  <dxfs count="4">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Nikhil\Desktop\VISHVJEET\Chaskarji\Dharti%20FPC\Dharti%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workbookViewId="0">
      <selection sqref="A1:E1"/>
    </sheetView>
  </sheetViews>
  <sheetFormatPr defaultColWidth="14.44140625" defaultRowHeight="15" customHeight="1"/>
  <cols>
    <col min="1" max="1" width="12.88671875" customWidth="1"/>
    <col min="2" max="2" width="56" customWidth="1"/>
    <col min="3" max="3" width="26.33203125" customWidth="1"/>
    <col min="4" max="4" width="20.6640625" customWidth="1"/>
    <col min="5" max="5" width="29.44140625" customWidth="1"/>
    <col min="6" max="11" width="9.109375" customWidth="1"/>
  </cols>
  <sheetData>
    <row r="1" spans="1:11" ht="26.25" customHeight="1">
      <c r="A1" s="336" t="s">
        <v>0</v>
      </c>
      <c r="B1" s="337"/>
      <c r="C1" s="337"/>
      <c r="D1" s="337"/>
      <c r="E1" s="337"/>
      <c r="F1" s="1"/>
      <c r="G1" s="1"/>
      <c r="H1" s="1"/>
      <c r="I1" s="1"/>
      <c r="J1" s="1"/>
      <c r="K1" s="1"/>
    </row>
    <row r="2" spans="1:11" ht="26.25" customHeight="1">
      <c r="A2" s="338" t="s">
        <v>1</v>
      </c>
      <c r="B2" s="339"/>
      <c r="C2" s="339"/>
      <c r="D2" s="339"/>
      <c r="E2" s="340"/>
      <c r="F2" s="1"/>
      <c r="G2" s="1"/>
      <c r="H2" s="1"/>
      <c r="I2" s="1"/>
      <c r="J2" s="1"/>
      <c r="K2" s="1"/>
    </row>
    <row r="3" spans="1:11" ht="23.25" customHeight="1">
      <c r="A3" s="341" t="s">
        <v>2</v>
      </c>
      <c r="B3" s="339"/>
      <c r="C3" s="339"/>
      <c r="D3" s="339"/>
      <c r="E3" s="340"/>
      <c r="F3" s="1"/>
      <c r="G3" s="1"/>
      <c r="H3" s="1"/>
      <c r="I3" s="1"/>
      <c r="J3" s="1"/>
      <c r="K3" s="1"/>
    </row>
    <row r="4" spans="1:11" ht="240.75" customHeight="1">
      <c r="A4" s="342" t="s">
        <v>3</v>
      </c>
      <c r="B4" s="339"/>
      <c r="C4" s="339"/>
      <c r="D4" s="339"/>
      <c r="E4" s="340"/>
      <c r="F4" s="1"/>
      <c r="G4" s="1"/>
      <c r="H4" s="1"/>
      <c r="I4" s="1"/>
      <c r="J4" s="1"/>
      <c r="K4" s="1"/>
    </row>
    <row r="5" spans="1:11" ht="23.25" customHeight="1">
      <c r="A5" s="341" t="s">
        <v>4</v>
      </c>
      <c r="B5" s="339"/>
      <c r="C5" s="339"/>
      <c r="D5" s="339"/>
      <c r="E5" s="340"/>
      <c r="F5" s="1"/>
      <c r="G5" s="1"/>
      <c r="H5" s="1"/>
      <c r="I5" s="1"/>
      <c r="J5" s="1"/>
      <c r="K5" s="1"/>
    </row>
    <row r="6" spans="1:11" ht="108" customHeight="1">
      <c r="A6" s="342" t="s">
        <v>5</v>
      </c>
      <c r="B6" s="339"/>
      <c r="C6" s="339"/>
      <c r="D6" s="339"/>
      <c r="E6" s="340"/>
      <c r="F6" s="1"/>
      <c r="G6" s="1"/>
      <c r="H6" s="1"/>
      <c r="I6" s="1"/>
      <c r="J6" s="1"/>
      <c r="K6" s="1"/>
    </row>
    <row r="7" spans="1:11" ht="23.25" customHeight="1">
      <c r="A7" s="347" t="s">
        <v>6</v>
      </c>
      <c r="B7" s="339"/>
      <c r="C7" s="339"/>
      <c r="D7" s="339"/>
      <c r="E7" s="340"/>
      <c r="F7" s="1"/>
      <c r="G7" s="1"/>
      <c r="H7" s="1"/>
      <c r="I7" s="1"/>
      <c r="J7" s="1"/>
      <c r="K7" s="1"/>
    </row>
    <row r="8" spans="1:11" ht="125.25" customHeight="1">
      <c r="A8" s="342" t="s">
        <v>7</v>
      </c>
      <c r="B8" s="339"/>
      <c r="C8" s="339"/>
      <c r="D8" s="339"/>
      <c r="E8" s="340"/>
      <c r="F8" s="1"/>
      <c r="G8" s="1"/>
      <c r="H8" s="1"/>
      <c r="I8" s="1"/>
      <c r="J8" s="1"/>
      <c r="K8" s="1"/>
    </row>
    <row r="9" spans="1:11" ht="14.4">
      <c r="A9" s="341" t="s">
        <v>8</v>
      </c>
      <c r="B9" s="339"/>
      <c r="C9" s="339"/>
      <c r="D9" s="339"/>
      <c r="E9" s="340"/>
      <c r="F9" s="1"/>
      <c r="G9" s="1"/>
      <c r="H9" s="1"/>
      <c r="I9" s="1"/>
      <c r="J9" s="1"/>
      <c r="K9" s="1"/>
    </row>
    <row r="10" spans="1:11" ht="14.4">
      <c r="A10" s="1" t="s">
        <v>9</v>
      </c>
      <c r="B10" s="1" t="s">
        <v>10</v>
      </c>
      <c r="C10" s="1"/>
      <c r="D10" s="1"/>
      <c r="E10" s="1"/>
      <c r="F10" s="1"/>
      <c r="G10" s="1"/>
      <c r="H10" s="1"/>
      <c r="I10" s="1"/>
      <c r="J10" s="1"/>
      <c r="K10" s="1"/>
    </row>
    <row r="11" spans="1:11" ht="20.25" customHeight="1">
      <c r="A11" s="2"/>
      <c r="B11" s="348" t="s">
        <v>11</v>
      </c>
      <c r="C11" s="339"/>
      <c r="D11" s="339"/>
      <c r="E11" s="340"/>
      <c r="F11" s="1"/>
      <c r="G11" s="1"/>
      <c r="H11" s="1"/>
      <c r="I11" s="1"/>
      <c r="J11" s="1"/>
      <c r="K11" s="1"/>
    </row>
    <row r="12" spans="1:11" ht="14.4">
      <c r="A12" s="3"/>
      <c r="B12" s="348" t="s">
        <v>12</v>
      </c>
      <c r="C12" s="339"/>
      <c r="D12" s="339"/>
      <c r="E12" s="340"/>
      <c r="F12" s="1"/>
      <c r="G12" s="1"/>
      <c r="H12" s="1"/>
      <c r="I12" s="1"/>
      <c r="J12" s="1"/>
      <c r="K12" s="1"/>
    </row>
    <row r="13" spans="1:11" ht="14.4">
      <c r="A13" s="346"/>
      <c r="B13" s="339"/>
      <c r="C13" s="339"/>
      <c r="D13" s="339"/>
      <c r="E13" s="340"/>
      <c r="F13" s="1"/>
      <c r="G13" s="1"/>
      <c r="H13" s="1"/>
      <c r="I13" s="1"/>
      <c r="J13" s="1"/>
      <c r="K13" s="1"/>
    </row>
    <row r="14" spans="1:11" ht="14.4">
      <c r="A14" s="341" t="s">
        <v>13</v>
      </c>
      <c r="B14" s="339"/>
      <c r="C14" s="339"/>
      <c r="D14" s="339"/>
      <c r="E14" s="340"/>
      <c r="F14" s="1"/>
      <c r="G14" s="1"/>
      <c r="H14" s="1"/>
      <c r="I14" s="1"/>
      <c r="J14" s="1"/>
      <c r="K14" s="1"/>
    </row>
    <row r="15" spans="1:11" ht="14.4">
      <c r="A15" s="4" t="s">
        <v>14</v>
      </c>
      <c r="B15" s="4" t="s">
        <v>15</v>
      </c>
      <c r="C15" s="4" t="s">
        <v>16</v>
      </c>
      <c r="D15" s="4" t="s">
        <v>17</v>
      </c>
      <c r="E15" s="4" t="s">
        <v>18</v>
      </c>
      <c r="F15" s="1"/>
      <c r="G15" s="1"/>
      <c r="H15" s="1"/>
      <c r="I15" s="1"/>
      <c r="J15" s="1"/>
      <c r="K15" s="1"/>
    </row>
    <row r="16" spans="1:11" ht="14.4">
      <c r="A16" s="5" t="s">
        <v>19</v>
      </c>
      <c r="B16" s="5" t="s">
        <v>20</v>
      </c>
      <c r="C16" s="5"/>
      <c r="D16" s="5"/>
      <c r="E16" s="5"/>
      <c r="F16" s="1"/>
      <c r="G16" s="1"/>
      <c r="H16" s="1"/>
      <c r="I16" s="1"/>
      <c r="J16" s="1"/>
      <c r="K16" s="1"/>
    </row>
    <row r="17" spans="1:11" ht="57.6">
      <c r="A17" s="6" t="s">
        <v>21</v>
      </c>
      <c r="B17" s="7" t="s">
        <v>22</v>
      </c>
      <c r="C17" s="7" t="s">
        <v>23</v>
      </c>
      <c r="D17" s="7" t="s">
        <v>24</v>
      </c>
      <c r="E17" s="7"/>
      <c r="F17" s="1"/>
      <c r="G17" s="1"/>
      <c r="H17" s="1"/>
      <c r="I17" s="1"/>
      <c r="J17" s="1"/>
      <c r="K17" s="1"/>
    </row>
    <row r="18" spans="1:11" ht="72">
      <c r="A18" s="6" t="s">
        <v>25</v>
      </c>
      <c r="B18" s="7" t="s">
        <v>26</v>
      </c>
      <c r="C18" s="7" t="s">
        <v>27</v>
      </c>
      <c r="D18" s="7" t="s">
        <v>28</v>
      </c>
      <c r="E18" s="7"/>
      <c r="F18" s="1"/>
      <c r="G18" s="1"/>
      <c r="H18" s="1"/>
      <c r="I18" s="1"/>
      <c r="J18" s="1"/>
      <c r="K18" s="1"/>
    </row>
    <row r="19" spans="1:11" ht="26.25" customHeight="1">
      <c r="A19" s="6" t="s">
        <v>29</v>
      </c>
      <c r="B19" s="8" t="s">
        <v>30</v>
      </c>
      <c r="C19" s="7" t="s">
        <v>31</v>
      </c>
      <c r="D19" s="7" t="s">
        <v>32</v>
      </c>
      <c r="E19" s="7" t="s">
        <v>33</v>
      </c>
      <c r="F19" s="1"/>
      <c r="G19" s="1"/>
      <c r="H19" s="1"/>
      <c r="I19" s="1"/>
      <c r="J19" s="1"/>
      <c r="K19" s="1"/>
    </row>
    <row r="20" spans="1:11" ht="14.4">
      <c r="A20" s="6" t="s">
        <v>34</v>
      </c>
      <c r="B20" s="7" t="s">
        <v>35</v>
      </c>
      <c r="C20" s="7"/>
      <c r="D20" s="7"/>
      <c r="E20" s="7"/>
      <c r="F20" s="1"/>
      <c r="G20" s="1"/>
      <c r="H20" s="1"/>
      <c r="I20" s="1"/>
      <c r="J20" s="1"/>
      <c r="K20" s="1"/>
    </row>
    <row r="21" spans="1:11" ht="15.75" customHeight="1">
      <c r="A21" s="7">
        <v>4.0999999999999996</v>
      </c>
      <c r="B21" s="7" t="s">
        <v>36</v>
      </c>
      <c r="C21" s="343" t="s">
        <v>37</v>
      </c>
      <c r="D21" s="7" t="s">
        <v>38</v>
      </c>
      <c r="E21" s="7"/>
      <c r="F21" s="1"/>
      <c r="G21" s="1"/>
      <c r="H21" s="1"/>
      <c r="I21" s="1"/>
      <c r="J21" s="1"/>
      <c r="K21" s="1"/>
    </row>
    <row r="22" spans="1:11" ht="15.75" customHeight="1">
      <c r="A22" s="7">
        <v>4.2</v>
      </c>
      <c r="B22" s="7" t="s">
        <v>39</v>
      </c>
      <c r="C22" s="344"/>
      <c r="D22" s="7" t="s">
        <v>40</v>
      </c>
      <c r="E22" s="7"/>
      <c r="F22" s="1"/>
      <c r="G22" s="1"/>
      <c r="H22" s="1"/>
      <c r="I22" s="1"/>
      <c r="J22" s="1"/>
      <c r="K22" s="1"/>
    </row>
    <row r="23" spans="1:11" ht="15.75" customHeight="1">
      <c r="A23" s="7">
        <v>4.3</v>
      </c>
      <c r="B23" s="7" t="s">
        <v>41</v>
      </c>
      <c r="C23" s="344"/>
      <c r="D23" s="7" t="s">
        <v>42</v>
      </c>
      <c r="E23" s="7"/>
      <c r="F23" s="1"/>
      <c r="G23" s="1"/>
      <c r="H23" s="1"/>
      <c r="I23" s="1"/>
      <c r="J23" s="1"/>
      <c r="K23" s="1"/>
    </row>
    <row r="24" spans="1:11" ht="15.75" customHeight="1">
      <c r="A24" s="7">
        <v>4.4000000000000004</v>
      </c>
      <c r="B24" s="7" t="s">
        <v>43</v>
      </c>
      <c r="C24" s="344"/>
      <c r="D24" s="7" t="s">
        <v>44</v>
      </c>
      <c r="E24" s="7"/>
      <c r="F24" s="1"/>
      <c r="G24" s="1"/>
      <c r="H24" s="1"/>
      <c r="I24" s="1"/>
      <c r="J24" s="1"/>
      <c r="K24" s="1"/>
    </row>
    <row r="25" spans="1:11" ht="15.75" customHeight="1">
      <c r="A25" s="7">
        <v>4.5</v>
      </c>
      <c r="B25" s="7" t="s">
        <v>45</v>
      </c>
      <c r="C25" s="344"/>
      <c r="D25" s="7" t="s">
        <v>46</v>
      </c>
      <c r="E25" s="7"/>
      <c r="F25" s="1"/>
      <c r="G25" s="1"/>
      <c r="H25" s="1"/>
      <c r="I25" s="1"/>
      <c r="J25" s="1"/>
      <c r="K25" s="1"/>
    </row>
    <row r="26" spans="1:11" ht="15.75" customHeight="1">
      <c r="A26" s="7">
        <v>4.5999999999999996</v>
      </c>
      <c r="B26" s="7" t="s">
        <v>47</v>
      </c>
      <c r="C26" s="345"/>
      <c r="D26" s="7" t="s">
        <v>48</v>
      </c>
      <c r="E26" s="7"/>
      <c r="F26" s="1"/>
      <c r="G26" s="1"/>
      <c r="H26" s="1"/>
      <c r="I26" s="1"/>
      <c r="J26" s="1"/>
      <c r="K26" s="1"/>
    </row>
    <row r="27" spans="1:11" ht="15.75" customHeight="1">
      <c r="A27" s="6" t="s">
        <v>49</v>
      </c>
      <c r="B27" s="7" t="s">
        <v>50</v>
      </c>
      <c r="C27" s="7" t="s">
        <v>51</v>
      </c>
      <c r="D27" s="7" t="s">
        <v>52</v>
      </c>
      <c r="E27" s="7"/>
      <c r="F27" s="1"/>
      <c r="G27" s="1"/>
      <c r="H27" s="1"/>
      <c r="I27" s="1"/>
      <c r="J27" s="1"/>
      <c r="K27" s="1"/>
    </row>
    <row r="28" spans="1:11" ht="15.75" customHeight="1">
      <c r="A28" s="6" t="s">
        <v>53</v>
      </c>
      <c r="B28" s="7" t="s">
        <v>54</v>
      </c>
      <c r="C28" s="7" t="s">
        <v>55</v>
      </c>
      <c r="D28" s="7" t="s">
        <v>56</v>
      </c>
      <c r="E28" s="7"/>
      <c r="F28" s="1"/>
      <c r="G28" s="1"/>
      <c r="H28" s="1"/>
      <c r="I28" s="1"/>
      <c r="J28" s="1"/>
      <c r="K28" s="1"/>
    </row>
    <row r="29" spans="1:11" ht="15.75" customHeight="1">
      <c r="A29" s="6" t="s">
        <v>57</v>
      </c>
      <c r="B29" s="7" t="s">
        <v>58</v>
      </c>
      <c r="C29" s="7" t="s">
        <v>59</v>
      </c>
      <c r="D29" s="7" t="s">
        <v>60</v>
      </c>
      <c r="E29" s="7"/>
      <c r="F29" s="1"/>
      <c r="G29" s="1"/>
      <c r="H29" s="1"/>
      <c r="I29" s="1"/>
      <c r="J29" s="1"/>
      <c r="K29" s="1"/>
    </row>
    <row r="30" spans="1:11" ht="15.75" customHeight="1">
      <c r="A30" s="5" t="s">
        <v>61</v>
      </c>
      <c r="B30" s="9" t="s">
        <v>62</v>
      </c>
      <c r="C30" s="5"/>
      <c r="D30" s="5"/>
      <c r="E30" s="5"/>
      <c r="F30" s="1"/>
      <c r="G30" s="1"/>
      <c r="H30" s="1"/>
      <c r="I30" s="1"/>
      <c r="J30" s="1"/>
      <c r="K30" s="1"/>
    </row>
    <row r="31" spans="1:11" ht="26.25" customHeight="1">
      <c r="A31" s="10" t="s">
        <v>63</v>
      </c>
      <c r="B31" s="7" t="s">
        <v>64</v>
      </c>
      <c r="C31" s="7"/>
      <c r="D31" s="7" t="s">
        <v>65</v>
      </c>
      <c r="E31" s="7" t="s">
        <v>33</v>
      </c>
      <c r="F31" s="1"/>
      <c r="G31" s="1"/>
      <c r="H31" s="1"/>
      <c r="I31" s="1"/>
      <c r="J31" s="1"/>
      <c r="K31" s="1"/>
    </row>
    <row r="32" spans="1:11" ht="15.75" customHeight="1">
      <c r="A32" s="10" t="s">
        <v>66</v>
      </c>
      <c r="B32" s="7" t="s">
        <v>67</v>
      </c>
      <c r="C32" s="7"/>
      <c r="D32" s="7" t="s">
        <v>68</v>
      </c>
      <c r="E32" s="7" t="s">
        <v>33</v>
      </c>
      <c r="F32" s="1"/>
      <c r="G32" s="1"/>
      <c r="H32" s="1"/>
      <c r="I32" s="1"/>
      <c r="J32" s="1"/>
      <c r="K32" s="1"/>
    </row>
    <row r="33" spans="1:11" ht="15.75" customHeight="1">
      <c r="A33" s="10" t="s">
        <v>69</v>
      </c>
      <c r="B33" s="7" t="s">
        <v>70</v>
      </c>
      <c r="C33" s="7"/>
      <c r="D33" s="7" t="s">
        <v>71</v>
      </c>
      <c r="E33" s="7" t="s">
        <v>33</v>
      </c>
      <c r="F33" s="1"/>
      <c r="G33" s="1"/>
      <c r="H33" s="1"/>
      <c r="I33" s="1"/>
      <c r="J33" s="1"/>
      <c r="K33" s="1"/>
    </row>
    <row r="34" spans="1:11" ht="35.25" customHeight="1">
      <c r="A34" s="10" t="s">
        <v>72</v>
      </c>
      <c r="B34" s="7" t="s">
        <v>73</v>
      </c>
      <c r="C34" s="7"/>
      <c r="D34" s="7" t="s">
        <v>74</v>
      </c>
      <c r="E34" s="7" t="s">
        <v>33</v>
      </c>
      <c r="F34" s="1"/>
      <c r="G34" s="1"/>
      <c r="H34" s="1"/>
      <c r="I34" s="1"/>
      <c r="J34" s="1"/>
      <c r="K34" s="1"/>
    </row>
    <row r="35" spans="1:11" ht="35.25" customHeight="1">
      <c r="A35" s="10" t="s">
        <v>75</v>
      </c>
      <c r="B35" s="7" t="s">
        <v>76</v>
      </c>
      <c r="C35" s="7"/>
      <c r="D35" s="7" t="s">
        <v>77</v>
      </c>
      <c r="E35" s="7" t="s">
        <v>33</v>
      </c>
      <c r="F35" s="1"/>
      <c r="G35" s="1"/>
      <c r="H35" s="1"/>
      <c r="I35" s="1"/>
      <c r="J35" s="1"/>
      <c r="K35" s="1"/>
    </row>
    <row r="36" spans="1:11" ht="15.75" customHeight="1">
      <c r="A36" s="6" t="s">
        <v>78</v>
      </c>
      <c r="B36" s="7" t="s">
        <v>79</v>
      </c>
      <c r="C36" s="7"/>
      <c r="D36" s="7"/>
      <c r="E36" s="7"/>
      <c r="F36" s="1"/>
      <c r="G36" s="1"/>
      <c r="H36" s="1"/>
      <c r="I36" s="1"/>
      <c r="J36" s="1"/>
      <c r="K36" s="1"/>
    </row>
    <row r="37" spans="1:11" ht="15.75" customHeight="1">
      <c r="A37" s="334"/>
      <c r="B37" s="335"/>
      <c r="C37" s="335"/>
      <c r="D37" s="335"/>
      <c r="E37" s="335"/>
      <c r="F37" s="1"/>
      <c r="G37" s="1"/>
      <c r="H37" s="1"/>
      <c r="I37" s="1"/>
      <c r="J37" s="1"/>
      <c r="K37" s="1"/>
    </row>
    <row r="38" spans="1:11" ht="15.75" customHeight="1">
      <c r="A38" s="1"/>
      <c r="B38" s="1"/>
      <c r="C38" s="1"/>
      <c r="D38" s="1"/>
      <c r="E38" s="1"/>
      <c r="F38" s="1"/>
      <c r="G38" s="1"/>
      <c r="H38" s="1"/>
      <c r="I38" s="1"/>
      <c r="J38" s="1"/>
      <c r="K38" s="1"/>
    </row>
    <row r="39" spans="1:11" ht="15.75" customHeight="1">
      <c r="A39" s="1"/>
      <c r="B39" s="1"/>
      <c r="C39" s="1"/>
      <c r="D39" s="1"/>
      <c r="E39" s="1"/>
      <c r="F39" s="1"/>
      <c r="G39" s="1"/>
      <c r="H39" s="1"/>
      <c r="I39" s="1"/>
      <c r="J39" s="1"/>
      <c r="K39" s="1"/>
    </row>
    <row r="40" spans="1:11" ht="15.75" customHeight="1">
      <c r="A40" s="1"/>
      <c r="B40" s="1"/>
      <c r="C40" s="1"/>
      <c r="D40" s="1"/>
      <c r="E40" s="1"/>
      <c r="F40" s="1"/>
      <c r="G40" s="1"/>
      <c r="H40" s="1"/>
      <c r="I40" s="1"/>
      <c r="J40" s="1"/>
      <c r="K40" s="1"/>
    </row>
    <row r="41" spans="1:11" ht="15.75" customHeight="1">
      <c r="A41" s="1"/>
      <c r="B41" s="1"/>
      <c r="C41" s="1"/>
      <c r="D41" s="1"/>
      <c r="E41" s="1"/>
      <c r="F41" s="1"/>
      <c r="G41" s="1"/>
      <c r="H41" s="1"/>
      <c r="I41" s="1"/>
      <c r="J41" s="1"/>
      <c r="K41" s="1"/>
    </row>
    <row r="42" spans="1:11" ht="15.75" customHeight="1">
      <c r="A42" s="1"/>
      <c r="B42" s="1"/>
      <c r="C42" s="1"/>
      <c r="D42" s="1"/>
      <c r="E42" s="1"/>
      <c r="F42" s="1"/>
      <c r="G42" s="1"/>
      <c r="H42" s="1"/>
      <c r="I42" s="1"/>
      <c r="J42" s="1"/>
      <c r="K42" s="1"/>
    </row>
    <row r="43" spans="1:11" ht="15.75" customHeight="1">
      <c r="A43" s="1"/>
      <c r="B43" s="1"/>
      <c r="C43" s="1"/>
      <c r="D43" s="1"/>
      <c r="E43" s="1"/>
      <c r="F43" s="1"/>
      <c r="G43" s="1"/>
      <c r="H43" s="1"/>
      <c r="I43" s="1"/>
      <c r="J43" s="1"/>
      <c r="K43" s="1"/>
    </row>
    <row r="44" spans="1:11" ht="15.75" customHeight="1">
      <c r="A44" s="1"/>
      <c r="B44" s="1"/>
      <c r="C44" s="1"/>
      <c r="D44" s="1"/>
      <c r="E44" s="1"/>
      <c r="F44" s="1"/>
      <c r="G44" s="1"/>
      <c r="H44" s="1"/>
      <c r="I44" s="1"/>
      <c r="J44" s="1"/>
      <c r="K44" s="1"/>
    </row>
    <row r="45" spans="1:11" ht="15.75" customHeight="1">
      <c r="A45" s="1"/>
      <c r="B45" s="1"/>
      <c r="C45" s="1"/>
      <c r="D45" s="1"/>
      <c r="E45" s="1"/>
      <c r="F45" s="1"/>
      <c r="G45" s="1"/>
      <c r="H45" s="1"/>
      <c r="I45" s="1"/>
      <c r="J45" s="1"/>
      <c r="K45" s="1"/>
    </row>
    <row r="46" spans="1:11" ht="15.75" customHeight="1">
      <c r="A46" s="1"/>
      <c r="B46" s="1"/>
      <c r="C46" s="1"/>
      <c r="D46" s="1"/>
      <c r="E46" s="1"/>
      <c r="F46" s="1"/>
      <c r="G46" s="1"/>
      <c r="H46" s="1"/>
      <c r="I46" s="1"/>
      <c r="J46" s="1"/>
      <c r="K46" s="1"/>
    </row>
    <row r="47" spans="1:11" ht="15.75" customHeight="1">
      <c r="A47" s="1"/>
      <c r="B47" s="1"/>
      <c r="C47" s="1"/>
      <c r="D47" s="1"/>
      <c r="E47" s="1"/>
      <c r="F47" s="1"/>
      <c r="G47" s="1"/>
      <c r="H47" s="1"/>
      <c r="I47" s="1"/>
      <c r="J47" s="1"/>
      <c r="K47" s="1"/>
    </row>
    <row r="48" spans="1:11" ht="15.75" customHeight="1">
      <c r="A48" s="1"/>
      <c r="B48" s="1"/>
      <c r="C48" s="1"/>
      <c r="D48" s="1"/>
      <c r="E48" s="1"/>
      <c r="F48" s="1"/>
      <c r="G48" s="1"/>
      <c r="H48" s="1"/>
      <c r="I48" s="1"/>
      <c r="J48" s="1"/>
      <c r="K48" s="1"/>
    </row>
    <row r="49" spans="1:11" ht="15.75" customHeight="1">
      <c r="A49" s="1"/>
      <c r="B49" s="1"/>
      <c r="C49" s="1"/>
      <c r="D49" s="1"/>
      <c r="E49" s="1"/>
      <c r="F49" s="1"/>
      <c r="G49" s="1"/>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workbookViewId="0">
      <selection activeCell="B1" sqref="B1"/>
    </sheetView>
  </sheetViews>
  <sheetFormatPr defaultColWidth="14.44140625" defaultRowHeight="15" customHeight="1"/>
  <cols>
    <col min="1" max="1" width="8.6640625" customWidth="1"/>
    <col min="2" max="2" width="32.6640625" customWidth="1"/>
    <col min="3" max="3" width="16.109375" customWidth="1"/>
    <col min="4" max="5" width="14.88671875" customWidth="1"/>
    <col min="6" max="6" width="16.5546875" customWidth="1"/>
    <col min="7" max="9" width="15.88671875" customWidth="1"/>
    <col min="10" max="10" width="14.88671875" customWidth="1"/>
    <col min="11" max="11" width="14.44140625" customWidth="1"/>
    <col min="12" max="12" width="14.88671875" customWidth="1"/>
    <col min="13" max="18" width="11.88671875" customWidth="1"/>
    <col min="19" max="19" width="4.5546875" customWidth="1"/>
  </cols>
  <sheetData>
    <row r="5" spans="2:12" ht="17.399999999999999">
      <c r="B5" s="351" t="s">
        <v>434</v>
      </c>
      <c r="C5" s="335"/>
      <c r="D5" s="335"/>
      <c r="E5" s="335"/>
      <c r="F5" s="335"/>
      <c r="G5" s="335"/>
      <c r="H5" s="335"/>
      <c r="I5" s="335"/>
      <c r="J5" s="335"/>
    </row>
    <row r="6" spans="2:12" ht="16.8">
      <c r="B6" s="201"/>
      <c r="C6" s="201"/>
      <c r="D6" s="201"/>
      <c r="E6" s="201"/>
      <c r="F6" s="201"/>
      <c r="G6" s="201"/>
      <c r="H6" s="201"/>
      <c r="I6" s="201"/>
      <c r="J6" s="201"/>
    </row>
    <row r="7" spans="2:12" ht="15.6">
      <c r="B7" s="202" t="s">
        <v>435</v>
      </c>
      <c r="C7" s="203" t="s">
        <v>436</v>
      </c>
      <c r="D7" s="203" t="s">
        <v>152</v>
      </c>
      <c r="E7" s="203" t="s">
        <v>153</v>
      </c>
      <c r="F7" s="203" t="s">
        <v>154</v>
      </c>
      <c r="G7" s="203" t="s">
        <v>155</v>
      </c>
      <c r="H7" s="203" t="s">
        <v>156</v>
      </c>
      <c r="I7" s="203" t="s">
        <v>157</v>
      </c>
      <c r="J7" s="203" t="s">
        <v>158</v>
      </c>
      <c r="L7" s="204"/>
    </row>
    <row r="8" spans="2:12" ht="14.4">
      <c r="B8" s="76"/>
      <c r="C8" s="76"/>
      <c r="D8" s="76"/>
      <c r="E8" s="76"/>
      <c r="F8" s="76"/>
      <c r="G8" s="76"/>
      <c r="H8" s="76"/>
      <c r="I8" s="76"/>
      <c r="J8" s="76"/>
    </row>
    <row r="9" spans="2:12" ht="14.4">
      <c r="B9" s="76" t="s">
        <v>437</v>
      </c>
      <c r="C9" s="76"/>
      <c r="D9" s="205">
        <f>'6.Cons Profit &amp; Loss'!B51</f>
        <v>1842455.037404486</v>
      </c>
      <c r="E9" s="205">
        <f>'6.Cons Profit &amp; Loss'!C51</f>
        <v>1560365.1335441903</v>
      </c>
      <c r="F9" s="205">
        <f>'6.Cons Profit &amp; Loss'!D51</f>
        <v>1671944.7862903976</v>
      </c>
      <c r="G9" s="205">
        <f>'6.Cons Profit &amp; Loss'!E51</f>
        <v>1799982.0493510952</v>
      </c>
      <c r="H9" s="205">
        <f>'6.Cons Profit &amp; Loss'!F51</f>
        <v>1944217.468047813</v>
      </c>
      <c r="I9" s="205">
        <f>'6.Cons Profit &amp; Loss'!G51</f>
        <v>2173283.4678531531</v>
      </c>
      <c r="J9" s="205">
        <f>'6.Cons Profit &amp; Loss'!H51</f>
        <v>2350532.0828454341</v>
      </c>
    </row>
    <row r="10" spans="2:12" ht="14.4">
      <c r="B10" s="76"/>
      <c r="C10" s="76"/>
      <c r="D10" s="205"/>
      <c r="E10" s="205"/>
      <c r="F10" s="205"/>
      <c r="G10" s="205"/>
      <c r="H10" s="205"/>
      <c r="I10" s="205"/>
      <c r="J10" s="205"/>
    </row>
    <row r="11" spans="2:12" ht="14.4">
      <c r="B11" s="79" t="s">
        <v>438</v>
      </c>
      <c r="C11" s="79"/>
      <c r="D11" s="205">
        <f>'6.Cons Profit &amp; Loss'!B42</f>
        <v>449062.26</v>
      </c>
      <c r="E11" s="205">
        <f>'6.Cons Profit &amp; Loss'!C42</f>
        <v>449062.26</v>
      </c>
      <c r="F11" s="205">
        <f>'6.Cons Profit &amp; Loss'!D42</f>
        <v>449062.26</v>
      </c>
      <c r="G11" s="205">
        <f>'6.Cons Profit &amp; Loss'!E42</f>
        <v>449062.26</v>
      </c>
      <c r="H11" s="205">
        <f>'6.Cons Profit &amp; Loss'!F42</f>
        <v>449062.26</v>
      </c>
      <c r="I11" s="205">
        <f>'6.Cons Profit &amp; Loss'!G42</f>
        <v>449062.26</v>
      </c>
      <c r="J11" s="205">
        <f>'6.Cons Profit &amp; Loss'!H42</f>
        <v>449062.26</v>
      </c>
    </row>
    <row r="12" spans="2:12" ht="14.4">
      <c r="B12" s="76" t="s">
        <v>439</v>
      </c>
      <c r="C12" s="76"/>
      <c r="D12" s="205">
        <f>'6.Cons Profit &amp; Loss'!B43</f>
        <v>92600</v>
      </c>
      <c r="E12" s="205">
        <f>'6.Cons Profit &amp; Loss'!C43</f>
        <v>92600</v>
      </c>
      <c r="F12" s="205">
        <f>'6.Cons Profit &amp; Loss'!D43</f>
        <v>92600</v>
      </c>
      <c r="G12" s="205">
        <f>'6.Cons Profit &amp; Loss'!E43</f>
        <v>92600</v>
      </c>
      <c r="H12" s="205">
        <f>'6.Cons Profit &amp; Loss'!F43</f>
        <v>92600</v>
      </c>
      <c r="I12" s="205">
        <f>'6.Cons Profit &amp; Loss'!G43</f>
        <v>0</v>
      </c>
      <c r="J12" s="205">
        <f>'6.Cons Profit &amp; Loss'!H43</f>
        <v>0</v>
      </c>
    </row>
    <row r="13" spans="2:12" ht="14.4">
      <c r="B13" s="76"/>
      <c r="C13" s="76"/>
      <c r="D13" s="76"/>
      <c r="E13" s="76"/>
      <c r="F13" s="76"/>
      <c r="G13" s="76"/>
      <c r="H13" s="76"/>
      <c r="I13" s="76"/>
      <c r="J13" s="76"/>
    </row>
    <row r="14" spans="2:12" ht="14.4">
      <c r="B14" s="76" t="s">
        <v>440</v>
      </c>
      <c r="C14" s="76"/>
      <c r="D14" s="205">
        <f>SUM(D9:D12)</f>
        <v>2384117.2974044858</v>
      </c>
      <c r="E14" s="205">
        <f t="shared" ref="E14:J14" si="0">SUM(E9:E12)</f>
        <v>2102027.3935441906</v>
      </c>
      <c r="F14" s="205">
        <f t="shared" si="0"/>
        <v>2213607.0462903976</v>
      </c>
      <c r="G14" s="205">
        <f t="shared" si="0"/>
        <v>2341644.309351095</v>
      </c>
      <c r="H14" s="205">
        <f t="shared" si="0"/>
        <v>2485879.7280478133</v>
      </c>
      <c r="I14" s="205">
        <f t="shared" si="0"/>
        <v>2622345.7278531529</v>
      </c>
      <c r="J14" s="205">
        <f t="shared" si="0"/>
        <v>2799594.3428454343</v>
      </c>
    </row>
    <row r="15" spans="2:12" ht="14.4">
      <c r="B15" s="76" t="s">
        <v>441</v>
      </c>
      <c r="C15" s="206">
        <f>-'1.Project Cost and MOF'!D12</f>
        <v>-9456907.0621553976</v>
      </c>
      <c r="D15" s="205">
        <f t="shared" ref="D15:J15" si="1">D14</f>
        <v>2384117.2974044858</v>
      </c>
      <c r="E15" s="205">
        <f t="shared" si="1"/>
        <v>2102027.3935441906</v>
      </c>
      <c r="F15" s="205">
        <f t="shared" si="1"/>
        <v>2213607.0462903976</v>
      </c>
      <c r="G15" s="205">
        <f t="shared" si="1"/>
        <v>2341644.309351095</v>
      </c>
      <c r="H15" s="205">
        <f t="shared" si="1"/>
        <v>2485879.7280478133</v>
      </c>
      <c r="I15" s="205">
        <f t="shared" si="1"/>
        <v>2622345.7278531529</v>
      </c>
      <c r="J15" s="205">
        <f t="shared" si="1"/>
        <v>2799594.3428454343</v>
      </c>
    </row>
    <row r="16" spans="2:12" ht="14.4">
      <c r="B16" s="76" t="s">
        <v>442</v>
      </c>
      <c r="C16" s="207">
        <f>IRR(C15:J15)</f>
        <v>0.16422994433868898</v>
      </c>
      <c r="D16" s="205"/>
      <c r="E16" s="205"/>
      <c r="F16" s="205"/>
      <c r="G16" s="205"/>
      <c r="H16" s="205"/>
      <c r="I16" s="205"/>
      <c r="J16" s="205"/>
    </row>
    <row r="17" spans="2:19" ht="14.4">
      <c r="B17" s="76"/>
      <c r="C17" s="76"/>
      <c r="D17" s="76"/>
      <c r="E17" s="76"/>
      <c r="F17" s="76"/>
      <c r="G17" s="76"/>
      <c r="H17" s="76"/>
      <c r="I17" s="76"/>
      <c r="J17" s="76"/>
    </row>
    <row r="18" spans="2:19" ht="16.8">
      <c r="B18" s="208" t="s">
        <v>443</v>
      </c>
      <c r="C18" s="88"/>
      <c r="D18" s="209">
        <f>1/(1+$C$16)</f>
        <v>0.85893684908441725</v>
      </c>
      <c r="E18" s="210">
        <f t="shared" ref="E18:J18" si="2">D18/(1+$C$16)</f>
        <v>0.737772510715067</v>
      </c>
      <c r="F18" s="210">
        <f t="shared" si="2"/>
        <v>0.63369999569469915</v>
      </c>
      <c r="G18" s="210">
        <f t="shared" si="2"/>
        <v>0.54430827756681366</v>
      </c>
      <c r="H18" s="210">
        <f t="shared" si="2"/>
        <v>0.46752643686380529</v>
      </c>
      <c r="I18" s="210">
        <f t="shared" si="2"/>
        <v>0.40157568454346165</v>
      </c>
      <c r="J18" s="210">
        <f t="shared" si="2"/>
        <v>0.34492815315067887</v>
      </c>
      <c r="L18" s="211"/>
      <c r="M18" s="211"/>
      <c r="N18" s="211"/>
      <c r="O18" s="211"/>
      <c r="P18" s="211"/>
      <c r="Q18" s="211"/>
      <c r="R18" s="211"/>
      <c r="S18" s="211"/>
    </row>
    <row r="19" spans="2:19" ht="14.4">
      <c r="B19" s="76" t="s">
        <v>444</v>
      </c>
      <c r="C19" s="76"/>
      <c r="D19" s="205">
        <f t="shared" ref="D19:J19" si="3">D14*D18</f>
        <v>2047806.1992802655</v>
      </c>
      <c r="E19" s="205">
        <f t="shared" si="3"/>
        <v>1550818.0277269457</v>
      </c>
      <c r="F19" s="205">
        <f t="shared" si="3"/>
        <v>1402762.7757039806</v>
      </c>
      <c r="G19" s="205">
        <f t="shared" si="3"/>
        <v>1274576.3806970255</v>
      </c>
      <c r="H19" s="205">
        <f t="shared" si="3"/>
        <v>1162214.4917261594</v>
      </c>
      <c r="I19" s="205">
        <f t="shared" si="3"/>
        <v>1053070.280772252</v>
      </c>
      <c r="J19" s="205">
        <f t="shared" si="3"/>
        <v>965658.90624876413</v>
      </c>
      <c r="L19" s="212"/>
    </row>
    <row r="20" spans="2:19" ht="14.4">
      <c r="B20" s="76" t="s">
        <v>445</v>
      </c>
      <c r="C20" s="76"/>
      <c r="D20" s="391">
        <f>SUM(D19:J19)</f>
        <v>9456907.062155392</v>
      </c>
      <c r="E20" s="339"/>
      <c r="F20" s="339"/>
      <c r="G20" s="339"/>
      <c r="H20" s="339"/>
      <c r="I20" s="339"/>
      <c r="J20" s="340"/>
      <c r="L20" s="212"/>
    </row>
    <row r="21" spans="2:19" ht="15.75" customHeight="1">
      <c r="B21" s="76"/>
      <c r="C21" s="76"/>
      <c r="D21" s="205"/>
      <c r="E21" s="205"/>
      <c r="F21" s="205"/>
      <c r="G21" s="205"/>
      <c r="H21" s="205"/>
      <c r="I21" s="205"/>
      <c r="J21" s="205"/>
    </row>
    <row r="22" spans="2:19" ht="15.75" customHeight="1">
      <c r="B22" s="71" t="s">
        <v>446</v>
      </c>
      <c r="C22" s="71"/>
      <c r="D22" s="394">
        <f>'1.Project Cost and MOF'!D12</f>
        <v>9456907.0621553976</v>
      </c>
      <c r="E22" s="335"/>
      <c r="F22" s="335"/>
      <c r="G22" s="335"/>
      <c r="H22" s="335"/>
      <c r="I22" s="335"/>
      <c r="J22" s="335"/>
    </row>
    <row r="23" spans="2:19" ht="15.75" customHeight="1">
      <c r="F23" s="211">
        <f>D20-D22</f>
        <v>0</v>
      </c>
    </row>
    <row r="24" spans="2:19" ht="29.25" customHeight="1">
      <c r="B24" s="395" t="s">
        <v>447</v>
      </c>
      <c r="C24" s="335"/>
      <c r="D24" s="335"/>
      <c r="E24" s="335"/>
      <c r="F24" s="335"/>
      <c r="G24" s="335"/>
      <c r="H24" s="335"/>
      <c r="I24" s="335"/>
      <c r="J24" s="335"/>
    </row>
    <row r="25" spans="2:19" ht="15.75" customHeight="1">
      <c r="K25" s="211"/>
      <c r="L25" s="211"/>
      <c r="M25" s="211"/>
    </row>
    <row r="26" spans="2:19" ht="15.75" customHeight="1">
      <c r="B26" s="351" t="s">
        <v>448</v>
      </c>
      <c r="C26" s="335"/>
      <c r="D26" s="335"/>
      <c r="E26" s="335"/>
      <c r="F26" s="335"/>
      <c r="G26" s="335"/>
      <c r="H26" s="335"/>
      <c r="I26" s="335"/>
    </row>
    <row r="27" spans="2:19" ht="15.75" customHeight="1">
      <c r="K27" s="211"/>
    </row>
    <row r="28" spans="2:19" ht="15.75" customHeight="1">
      <c r="B28" s="213" t="s">
        <v>149</v>
      </c>
      <c r="C28" s="214" t="s">
        <v>152</v>
      </c>
      <c r="D28" s="214" t="s">
        <v>153</v>
      </c>
      <c r="E28" s="214" t="s">
        <v>154</v>
      </c>
      <c r="F28" s="214" t="s">
        <v>155</v>
      </c>
      <c r="G28" s="214" t="s">
        <v>156</v>
      </c>
      <c r="H28" s="214" t="s">
        <v>157</v>
      </c>
      <c r="I28" s="214" t="s">
        <v>158</v>
      </c>
    </row>
    <row r="29" spans="2:19" ht="15.75" customHeight="1">
      <c r="B29" s="76"/>
      <c r="C29" s="76"/>
      <c r="D29" s="76"/>
      <c r="E29" s="76"/>
      <c r="F29" s="76"/>
      <c r="G29" s="76"/>
      <c r="H29" s="76"/>
      <c r="I29" s="76"/>
    </row>
    <row r="30" spans="2:19" ht="15.75" customHeight="1">
      <c r="B30" s="76" t="s">
        <v>449</v>
      </c>
      <c r="C30" s="76"/>
      <c r="D30" s="76"/>
      <c r="E30" s="76"/>
      <c r="F30" s="76"/>
      <c r="G30" s="76"/>
      <c r="H30" s="76"/>
      <c r="I30" s="76"/>
    </row>
    <row r="31" spans="2:19" ht="15.75" customHeight="1">
      <c r="B31" s="76"/>
      <c r="C31" s="78"/>
      <c r="D31" s="78"/>
      <c r="E31" s="78"/>
      <c r="F31" s="78"/>
      <c r="G31" s="78"/>
      <c r="H31" s="78"/>
      <c r="I31" s="78"/>
    </row>
    <row r="32" spans="2:19" ht="15.75" customHeight="1">
      <c r="B32" s="215" t="str">
        <f>'6.Cons Profit &amp; Loss'!A8</f>
        <v>Faclitiy 1 - Cleaning &amp; Grading</v>
      </c>
      <c r="C32" s="78">
        <f>'6.Cons Profit &amp; Loss'!B8</f>
        <v>28214486.999999996</v>
      </c>
      <c r="D32" s="78">
        <f>'6.Cons Profit &amp; Loss'!C8</f>
        <v>31184432.999999996</v>
      </c>
      <c r="E32" s="78">
        <f>'6.Cons Profit &amp; Loss'!D8</f>
        <v>32743654.649999999</v>
      </c>
      <c r="F32" s="78">
        <f>'6.Cons Profit &amp; Loss'!E8</f>
        <v>34380837.3825</v>
      </c>
      <c r="G32" s="78">
        <f>'6.Cons Profit &amp; Loss'!F8</f>
        <v>36099879.251625001</v>
      </c>
      <c r="H32" s="78">
        <f>'6.Cons Profit &amp; Loss'!G8</f>
        <v>37904873.214206256</v>
      </c>
      <c r="I32" s="78">
        <f>'6.Cons Profit &amp; Loss'!H8</f>
        <v>39800116.874916568</v>
      </c>
    </row>
    <row r="33" spans="2:9" ht="15.75" customHeight="1">
      <c r="B33" s="215" t="str">
        <f>'6.Cons Profit &amp; Loss'!A9</f>
        <v>Faclitiy 2 - Processing Unit- Turmeric Processing</v>
      </c>
      <c r="C33" s="78">
        <f>'6.Cons Profit &amp; Loss'!B9</f>
        <v>23328162</v>
      </c>
      <c r="D33" s="78">
        <f>'6.Cons Profit &amp; Loss'!C9</f>
        <v>25783758</v>
      </c>
      <c r="E33" s="78">
        <f>'6.Cons Profit &amp; Loss'!D9</f>
        <v>27072945.899999999</v>
      </c>
      <c r="F33" s="78">
        <f>'6.Cons Profit &amp; Loss'!E9</f>
        <v>28426593.195000004</v>
      </c>
      <c r="G33" s="78">
        <f>'6.Cons Profit &amp; Loss'!F9</f>
        <v>29847922.854750004</v>
      </c>
      <c r="H33" s="78">
        <f>'6.Cons Profit &amp; Loss'!G9</f>
        <v>31340318.997487511</v>
      </c>
      <c r="I33" s="78">
        <f>'6.Cons Profit &amp; Loss'!H9</f>
        <v>32907334.947361887</v>
      </c>
    </row>
    <row r="34" spans="2:9" ht="15.75" customHeight="1">
      <c r="B34" s="215" t="str">
        <f>'6.Cons Profit &amp; Loss'!A10</f>
        <v>Faclitiy 3 - Warehouse</v>
      </c>
      <c r="C34" s="78">
        <f>'6.Cons Profit &amp; Loss'!B10</f>
        <v>0</v>
      </c>
      <c r="D34" s="78">
        <f>'6.Cons Profit &amp; Loss'!C10</f>
        <v>0</v>
      </c>
      <c r="E34" s="78">
        <f>'6.Cons Profit &amp; Loss'!D10</f>
        <v>0</v>
      </c>
      <c r="F34" s="78">
        <f>'6.Cons Profit &amp; Loss'!E10</f>
        <v>0</v>
      </c>
      <c r="G34" s="78">
        <f>'6.Cons Profit &amp; Loss'!F10</f>
        <v>0</v>
      </c>
      <c r="H34" s="78">
        <f>'6.Cons Profit &amp; Loss'!G10</f>
        <v>0</v>
      </c>
      <c r="I34" s="78">
        <f>'6.Cons Profit &amp; Loss'!H10</f>
        <v>0</v>
      </c>
    </row>
    <row r="35" spans="2:9" ht="15.75" customHeight="1">
      <c r="B35" s="215" t="str">
        <f>'6.Cons Profit &amp; Loss'!A11</f>
        <v xml:space="preserve">Faclitiy 4 - Custom Hiring </v>
      </c>
      <c r="C35" s="78">
        <f>'6.Cons Profit &amp; Loss'!B11</f>
        <v>0</v>
      </c>
      <c r="D35" s="78">
        <f>'6.Cons Profit &amp; Loss'!C11</f>
        <v>0</v>
      </c>
      <c r="E35" s="78">
        <f>'6.Cons Profit &amp; Loss'!D11</f>
        <v>0</v>
      </c>
      <c r="F35" s="78">
        <f>'6.Cons Profit &amp; Loss'!E11</f>
        <v>0</v>
      </c>
      <c r="G35" s="78">
        <f>'6.Cons Profit &amp; Loss'!F11</f>
        <v>0</v>
      </c>
      <c r="H35" s="78">
        <f>'6.Cons Profit &amp; Loss'!G11</f>
        <v>0</v>
      </c>
      <c r="I35" s="78">
        <f>'6.Cons Profit &amp; Loss'!H11</f>
        <v>0</v>
      </c>
    </row>
    <row r="36" spans="2:9" ht="15.75" customHeight="1">
      <c r="B36" s="215" t="str">
        <f>'6.Cons Profit &amp; Loss'!A12</f>
        <v>Faclitiy 5 - Agri Input Centre</v>
      </c>
      <c r="C36" s="78">
        <f>'6.Cons Profit &amp; Loss'!B12</f>
        <v>10017393.75</v>
      </c>
      <c r="D36" s="78">
        <f>'6.Cons Profit &amp; Loss'!C12</f>
        <v>11880953.437500002</v>
      </c>
      <c r="E36" s="78">
        <f>'6.Cons Profit &amp; Loss'!D12</f>
        <v>13369266.421875002</v>
      </c>
      <c r="F36" s="78">
        <f>'6.Cons Profit &amp; Loss'!E12</f>
        <v>14976708.321093755</v>
      </c>
      <c r="G36" s="78">
        <f>'6.Cons Profit &amp; Loss'!F12</f>
        <v>16711471.244179696</v>
      </c>
      <c r="H36" s="78">
        <f>'6.Cons Profit &amp; Loss'!G12</f>
        <v>18582268.688771494</v>
      </c>
      <c r="I36" s="78">
        <f>'6.Cons Profit &amp; Loss'!H12</f>
        <v>20598367.199712027</v>
      </c>
    </row>
    <row r="37" spans="2:9" ht="15.75" customHeight="1">
      <c r="B37" s="215" t="str">
        <f>'6.Cons Profit &amp; Loss'!A13</f>
        <v>Facility 6 - Processing Unit - Horti Commodity</v>
      </c>
      <c r="C37" s="78">
        <f>'6.Cons Profit &amp; Loss'!B13</f>
        <v>0</v>
      </c>
      <c r="D37" s="78">
        <f>'6.Cons Profit &amp; Loss'!C13</f>
        <v>0</v>
      </c>
      <c r="E37" s="78">
        <f>'6.Cons Profit &amp; Loss'!D13</f>
        <v>0</v>
      </c>
      <c r="F37" s="78">
        <f>'6.Cons Profit &amp; Loss'!E13</f>
        <v>0</v>
      </c>
      <c r="G37" s="78">
        <f>'6.Cons Profit &amp; Loss'!F13</f>
        <v>0</v>
      </c>
      <c r="H37" s="78">
        <f>'6.Cons Profit &amp; Loss'!G13</f>
        <v>0</v>
      </c>
      <c r="I37" s="78">
        <f>'6.Cons Profit &amp; Loss'!H13</f>
        <v>0</v>
      </c>
    </row>
    <row r="38" spans="2:9" ht="15.75" customHeight="1">
      <c r="B38" s="215"/>
      <c r="C38" s="215"/>
      <c r="D38" s="215"/>
      <c r="E38" s="215"/>
      <c r="F38" s="215"/>
      <c r="G38" s="215"/>
      <c r="H38" s="215"/>
      <c r="I38" s="215"/>
    </row>
    <row r="39" spans="2:9" ht="15.75" customHeight="1">
      <c r="B39" s="76" t="s">
        <v>450</v>
      </c>
      <c r="C39" s="78">
        <f t="shared" ref="C39:I39" si="4">SUM(C32:C38)</f>
        <v>61560042.75</v>
      </c>
      <c r="D39" s="78">
        <f t="shared" si="4"/>
        <v>68849144.4375</v>
      </c>
      <c r="E39" s="78">
        <f t="shared" si="4"/>
        <v>73185866.971874997</v>
      </c>
      <c r="F39" s="78">
        <f t="shared" si="4"/>
        <v>77784138.898593754</v>
      </c>
      <c r="G39" s="78">
        <f t="shared" si="4"/>
        <v>82659273.350554705</v>
      </c>
      <c r="H39" s="78">
        <f t="shared" si="4"/>
        <v>87827460.90046525</v>
      </c>
      <c r="I39" s="78">
        <f t="shared" si="4"/>
        <v>93305819.021990478</v>
      </c>
    </row>
    <row r="40" spans="2:9" ht="15.75" customHeight="1">
      <c r="B40" s="76"/>
      <c r="C40" s="78"/>
      <c r="D40" s="78"/>
      <c r="E40" s="78"/>
      <c r="F40" s="78"/>
      <c r="G40" s="78"/>
      <c r="H40" s="78"/>
      <c r="I40" s="78"/>
    </row>
    <row r="41" spans="2:9" ht="15.75" customHeight="1">
      <c r="B41" s="76" t="s">
        <v>451</v>
      </c>
      <c r="C41" s="78">
        <f>'6.Cons Profit &amp; Loss'!B25</f>
        <v>56547267.789959997</v>
      </c>
      <c r="D41" s="78">
        <f>'6.Cons Profit &amp; Loss'!C25</f>
        <v>63958767.978798002</v>
      </c>
      <c r="E41" s="78">
        <f>'6.Cons Profit &amp; Loss'!D25</f>
        <v>68031170.278362915</v>
      </c>
      <c r="F41" s="78">
        <f>'6.Cons Profit &amp; Loss'!E25</f>
        <v>72350915.887937307</v>
      </c>
      <c r="G41" s="78">
        <f>'6.Cons Profit &amp; Loss'!F25</f>
        <v>76932558.13277325</v>
      </c>
      <c r="H41" s="78">
        <f>'6.Cons Profit &amp; Loss'!G25</f>
        <v>81791487.312372908</v>
      </c>
      <c r="I41" s="78">
        <f>'6.Cons Profit &amp; Loss'!H25</f>
        <v>86943978.014600635</v>
      </c>
    </row>
    <row r="42" spans="2:9" ht="15.75" customHeight="1">
      <c r="B42" s="76"/>
      <c r="C42" s="78"/>
      <c r="D42" s="78"/>
      <c r="E42" s="78"/>
      <c r="F42" s="78"/>
      <c r="G42" s="78"/>
      <c r="H42" s="78"/>
      <c r="I42" s="78"/>
    </row>
    <row r="43" spans="2:9" ht="15.75" customHeight="1">
      <c r="B43" s="79" t="s">
        <v>452</v>
      </c>
      <c r="C43" s="80">
        <f t="shared" ref="C43:I43" si="5">C39-C41</f>
        <v>5012774.9600400031</v>
      </c>
      <c r="D43" s="80">
        <f t="shared" si="5"/>
        <v>4890376.458701998</v>
      </c>
      <c r="E43" s="80">
        <f t="shared" si="5"/>
        <v>5154696.6935120821</v>
      </c>
      <c r="F43" s="80">
        <f t="shared" si="5"/>
        <v>5433223.0106564462</v>
      </c>
      <c r="G43" s="80">
        <f t="shared" si="5"/>
        <v>5726715.2177814543</v>
      </c>
      <c r="H43" s="80">
        <f t="shared" si="5"/>
        <v>6035973.588092342</v>
      </c>
      <c r="I43" s="80">
        <f t="shared" si="5"/>
        <v>6361841.0073898435</v>
      </c>
    </row>
    <row r="44" spans="2:9" ht="15.75" customHeight="1">
      <c r="B44" s="76"/>
      <c r="C44" s="78"/>
      <c r="D44" s="78"/>
      <c r="E44" s="78"/>
      <c r="F44" s="78"/>
      <c r="G44" s="78"/>
      <c r="H44" s="78"/>
      <c r="I44" s="78"/>
    </row>
    <row r="45" spans="2:9" ht="15.75" customHeight="1">
      <c r="B45" s="79" t="s">
        <v>453</v>
      </c>
      <c r="C45" s="80">
        <f>'6.Cons Profit &amp; Loss'!B36+'6.Cons Profit &amp; Loss'!B42+'6.Cons Profit &amp; Loss'!B43</f>
        <v>2010862.26</v>
      </c>
      <c r="D45" s="80">
        <f>'6.Cons Profit &amp; Loss'!C36+'6.Cons Profit &amp; Loss'!C42+'6.Cons Profit &amp; Loss'!C43</f>
        <v>2084322.26</v>
      </c>
      <c r="E45" s="80">
        <f>'6.Cons Profit &amp; Loss'!D36+'6.Cons Profit &amp; Loss'!D42+'6.Cons Profit &amp; Loss'!D43</f>
        <v>2161455.2599999998</v>
      </c>
      <c r="F45" s="80">
        <f>'6.Cons Profit &amp; Loss'!E36+'6.Cons Profit &amp; Loss'!E42+'6.Cons Profit &amp; Loss'!E43</f>
        <v>2242444.91</v>
      </c>
      <c r="G45" s="80">
        <f>'6.Cons Profit &amp; Loss'!F36+'6.Cons Profit &amp; Loss'!F42+'6.Cons Profit &amp; Loss'!F43</f>
        <v>2327484.0425000004</v>
      </c>
      <c r="H45" s="80">
        <f>'6.Cons Profit &amp; Loss'!G36+'6.Cons Profit &amp; Loss'!G42+'6.Cons Profit &amp; Loss'!G43</f>
        <v>2324175.1316250004</v>
      </c>
      <c r="I45" s="80">
        <f>'6.Cons Profit &amp; Loss'!H36+'6.Cons Profit &amp; Loss'!H42+'6.Cons Profit &amp; Loss'!H43</f>
        <v>2417930.7752062506</v>
      </c>
    </row>
    <row r="46" spans="2:9" ht="15.75" customHeight="1">
      <c r="B46" s="76"/>
      <c r="C46" s="76"/>
      <c r="D46" s="76"/>
      <c r="E46" s="76"/>
      <c r="F46" s="76"/>
      <c r="G46" s="76"/>
      <c r="H46" s="76"/>
      <c r="I46" s="76"/>
    </row>
    <row r="47" spans="2:9" ht="15.75" customHeight="1">
      <c r="B47" s="76" t="s">
        <v>454</v>
      </c>
      <c r="C47" s="131">
        <f t="shared" ref="C47:I47" si="6">C45/C43</f>
        <v>0.40114752328398018</v>
      </c>
      <c r="D47" s="131">
        <f t="shared" si="6"/>
        <v>0.42620895908557926</v>
      </c>
      <c r="E47" s="131">
        <f t="shared" si="6"/>
        <v>0.41931764146676143</v>
      </c>
      <c r="F47" s="131">
        <f t="shared" si="6"/>
        <v>0.41272830244622449</v>
      </c>
      <c r="G47" s="131">
        <f t="shared" si="6"/>
        <v>0.40642566532262003</v>
      </c>
      <c r="H47" s="131">
        <f t="shared" si="6"/>
        <v>0.38505389357734937</v>
      </c>
      <c r="I47" s="131">
        <f t="shared" si="6"/>
        <v>0.38006777792742841</v>
      </c>
    </row>
    <row r="48" spans="2:9" ht="15.75" customHeight="1">
      <c r="B48" s="71"/>
      <c r="C48" s="71"/>
      <c r="D48" s="71"/>
      <c r="E48" s="71"/>
      <c r="F48" s="71"/>
      <c r="G48" s="71"/>
      <c r="H48" s="71"/>
      <c r="I48" s="71"/>
    </row>
    <row r="49" spans="2:10" ht="15.75" customHeight="1">
      <c r="B49" s="96" t="s">
        <v>455</v>
      </c>
      <c r="C49" s="216">
        <f>AVERAGE(C47:I47)</f>
        <v>0.40442139472999195</v>
      </c>
      <c r="D49" s="71"/>
      <c r="E49" s="71"/>
      <c r="F49" s="71"/>
      <c r="G49" s="71"/>
      <c r="H49" s="71"/>
      <c r="I49" s="71"/>
    </row>
    <row r="50" spans="2:10" ht="15.75" customHeight="1"/>
    <row r="51" spans="2:10" ht="41.25" customHeight="1">
      <c r="B51" s="396" t="s">
        <v>456</v>
      </c>
      <c r="C51" s="335"/>
      <c r="D51" s="335"/>
      <c r="E51" s="335"/>
      <c r="F51" s="335"/>
      <c r="G51" s="335"/>
      <c r="H51" s="335"/>
      <c r="I51" s="335"/>
      <c r="J51" s="335"/>
    </row>
    <row r="52" spans="2:10" ht="15.75" customHeight="1"/>
    <row r="53" spans="2:10" ht="15.75" customHeight="1"/>
    <row r="54" spans="2:10" ht="15.75" customHeight="1">
      <c r="B54" s="351" t="s">
        <v>457</v>
      </c>
      <c r="C54" s="335"/>
      <c r="D54" s="335"/>
      <c r="E54" s="335"/>
      <c r="F54" s="335"/>
      <c r="G54" s="335"/>
      <c r="H54" s="335"/>
      <c r="I54" s="335"/>
    </row>
    <row r="55" spans="2:10" ht="15.75" customHeight="1"/>
    <row r="56" spans="2:10" ht="15.75" customHeight="1">
      <c r="B56" s="128" t="s">
        <v>435</v>
      </c>
      <c r="C56" s="129" t="s">
        <v>152</v>
      </c>
      <c r="D56" s="129" t="s">
        <v>153</v>
      </c>
      <c r="E56" s="129" t="s">
        <v>154</v>
      </c>
      <c r="F56" s="129" t="s">
        <v>155</v>
      </c>
      <c r="G56" s="129" t="s">
        <v>156</v>
      </c>
      <c r="H56" s="129" t="s">
        <v>157</v>
      </c>
      <c r="I56" s="129" t="s">
        <v>158</v>
      </c>
    </row>
    <row r="57" spans="2:10" ht="15.75" customHeight="1">
      <c r="B57" s="76"/>
      <c r="C57" s="76"/>
      <c r="D57" s="76"/>
      <c r="E57" s="76"/>
      <c r="F57" s="76"/>
      <c r="G57" s="76"/>
      <c r="H57" s="76"/>
      <c r="I57" s="76"/>
    </row>
    <row r="58" spans="2:10" ht="15.75" customHeight="1">
      <c r="B58" s="76" t="s">
        <v>458</v>
      </c>
      <c r="C58" s="217">
        <f>'6.Cons Profit &amp; Loss'!B51</f>
        <v>1842455.037404486</v>
      </c>
      <c r="D58" s="217">
        <f>'6.Cons Profit &amp; Loss'!C51</f>
        <v>1560365.1335441903</v>
      </c>
      <c r="E58" s="217">
        <f>'6.Cons Profit &amp; Loss'!D51</f>
        <v>1671944.7862903976</v>
      </c>
      <c r="F58" s="217">
        <f>'6.Cons Profit &amp; Loss'!E51</f>
        <v>1799982.0493510952</v>
      </c>
      <c r="G58" s="217">
        <f>'6.Cons Profit &amp; Loss'!F51</f>
        <v>1944217.468047813</v>
      </c>
      <c r="H58" s="217">
        <f>'6.Cons Profit &amp; Loss'!G51</f>
        <v>2173283.4678531531</v>
      </c>
      <c r="I58" s="217">
        <f>'6.Cons Profit &amp; Loss'!H51</f>
        <v>2350532.0828454341</v>
      </c>
    </row>
    <row r="59" spans="2:10" ht="15.75" customHeight="1">
      <c r="B59" s="76"/>
      <c r="C59" s="217"/>
      <c r="D59" s="217"/>
      <c r="E59" s="217"/>
      <c r="F59" s="217"/>
      <c r="G59" s="217"/>
      <c r="H59" s="217"/>
      <c r="I59" s="217"/>
    </row>
    <row r="60" spans="2:10" ht="15.75" customHeight="1">
      <c r="B60" s="76" t="s">
        <v>459</v>
      </c>
      <c r="C60" s="217">
        <f>'6.Cons Profit &amp; Loss'!B42</f>
        <v>449062.26</v>
      </c>
      <c r="D60" s="217">
        <f>'6.Cons Profit &amp; Loss'!C42</f>
        <v>449062.26</v>
      </c>
      <c r="E60" s="217">
        <f>'6.Cons Profit &amp; Loss'!D42</f>
        <v>449062.26</v>
      </c>
      <c r="F60" s="217">
        <f>'6.Cons Profit &amp; Loss'!E42</f>
        <v>449062.26</v>
      </c>
      <c r="G60" s="217">
        <f>'6.Cons Profit &amp; Loss'!F42</f>
        <v>449062.26</v>
      </c>
      <c r="H60" s="217">
        <f>'6.Cons Profit &amp; Loss'!G42</f>
        <v>449062.26</v>
      </c>
      <c r="I60" s="217">
        <f>'6.Cons Profit &amp; Loss'!H42</f>
        <v>449062.26</v>
      </c>
    </row>
    <row r="61" spans="2:10" ht="15.75" customHeight="1">
      <c r="B61" s="195" t="s">
        <v>460</v>
      </c>
      <c r="C61" s="217">
        <f>'6.Cons Profit &amp; Loss'!B43</f>
        <v>92600</v>
      </c>
      <c r="D61" s="217">
        <f>'6.Cons Profit &amp; Loss'!C43</f>
        <v>92600</v>
      </c>
      <c r="E61" s="217">
        <f>'6.Cons Profit &amp; Loss'!D43</f>
        <v>92600</v>
      </c>
      <c r="F61" s="217">
        <f>'6.Cons Profit &amp; Loss'!E43</f>
        <v>92600</v>
      </c>
      <c r="G61" s="217">
        <f>'6.Cons Profit &amp; Loss'!F43</f>
        <v>92600</v>
      </c>
      <c r="H61" s="217">
        <f>'6.Cons Profit &amp; Loss'!G43</f>
        <v>0</v>
      </c>
      <c r="I61" s="217">
        <f>'6.Cons Profit &amp; Loss'!H43</f>
        <v>0</v>
      </c>
    </row>
    <row r="62" spans="2:10" ht="15.75" customHeight="1">
      <c r="B62" s="76"/>
      <c r="C62" s="217"/>
      <c r="D62" s="217"/>
      <c r="E62" s="217"/>
      <c r="F62" s="217"/>
      <c r="G62" s="217"/>
      <c r="H62" s="217"/>
      <c r="I62" s="217"/>
    </row>
    <row r="63" spans="2:10" ht="15.75" customHeight="1">
      <c r="B63" s="76" t="s">
        <v>440</v>
      </c>
      <c r="C63" s="217">
        <f t="shared" ref="C63:I63" si="7">SUM(C58:C61)</f>
        <v>2384117.2974044858</v>
      </c>
      <c r="D63" s="217">
        <f t="shared" si="7"/>
        <v>2102027.3935441906</v>
      </c>
      <c r="E63" s="217">
        <f t="shared" si="7"/>
        <v>2213607.0462903976</v>
      </c>
      <c r="F63" s="217">
        <f t="shared" si="7"/>
        <v>2341644.309351095</v>
      </c>
      <c r="G63" s="217">
        <f t="shared" si="7"/>
        <v>2485879.7280478133</v>
      </c>
      <c r="H63" s="217">
        <f t="shared" si="7"/>
        <v>2622345.7278531529</v>
      </c>
      <c r="I63" s="217">
        <f t="shared" si="7"/>
        <v>2799594.3428454343</v>
      </c>
    </row>
    <row r="64" spans="2:10" ht="15.75" customHeight="1">
      <c r="B64" s="76"/>
      <c r="C64" s="76"/>
      <c r="D64" s="76"/>
      <c r="E64" s="76"/>
      <c r="F64" s="76"/>
      <c r="G64" s="76"/>
      <c r="H64" s="76"/>
      <c r="I64" s="76"/>
    </row>
    <row r="65" spans="2:10" ht="15.75" customHeight="1">
      <c r="B65" s="218" t="s">
        <v>461</v>
      </c>
      <c r="C65" s="215">
        <f>1/1.1</f>
        <v>0.90909090909090906</v>
      </c>
      <c r="D65" s="215">
        <f t="shared" ref="D65:I65" si="8">C65/1.1</f>
        <v>0.82644628099173545</v>
      </c>
      <c r="E65" s="215">
        <f t="shared" si="8"/>
        <v>0.75131480090157765</v>
      </c>
      <c r="F65" s="215">
        <f t="shared" si="8"/>
        <v>0.68301345536507052</v>
      </c>
      <c r="G65" s="215">
        <f t="shared" si="8"/>
        <v>0.62092132305915493</v>
      </c>
      <c r="H65" s="215">
        <f t="shared" si="8"/>
        <v>0.56447393005377711</v>
      </c>
      <c r="I65" s="215">
        <f t="shared" si="8"/>
        <v>0.51315811823070645</v>
      </c>
    </row>
    <row r="66" spans="2:10" ht="15.75" customHeight="1">
      <c r="B66" s="76"/>
      <c r="C66" s="76"/>
      <c r="D66" s="76"/>
      <c r="E66" s="76"/>
      <c r="F66" s="76"/>
      <c r="G66" s="76"/>
      <c r="H66" s="76"/>
      <c r="I66" s="76"/>
    </row>
    <row r="67" spans="2:10" ht="15.75" customHeight="1">
      <c r="B67" s="218" t="s">
        <v>462</v>
      </c>
      <c r="C67" s="78">
        <f t="shared" ref="C67:I67" si="9">C63*C65</f>
        <v>2167379.3612768049</v>
      </c>
      <c r="D67" s="78">
        <f t="shared" si="9"/>
        <v>1737212.7219373474</v>
      </c>
      <c r="E67" s="78">
        <f t="shared" si="9"/>
        <v>1663115.7372579996</v>
      </c>
      <c r="F67" s="78">
        <f t="shared" si="9"/>
        <v>1599374.5709658456</v>
      </c>
      <c r="G67" s="78">
        <f t="shared" si="9"/>
        <v>1543535.7297053805</v>
      </c>
      <c r="H67" s="78">
        <f t="shared" si="9"/>
        <v>1480245.7989610019</v>
      </c>
      <c r="I67" s="78">
        <f t="shared" si="9"/>
        <v>1436634.5647838942</v>
      </c>
    </row>
    <row r="68" spans="2:10" ht="15.75" customHeight="1">
      <c r="B68" s="71"/>
      <c r="C68" s="118"/>
      <c r="D68" s="118"/>
      <c r="E68" s="118"/>
      <c r="F68" s="118"/>
      <c r="G68" s="118"/>
      <c r="H68" s="118"/>
      <c r="I68" s="118"/>
    </row>
    <row r="69" spans="2:10" ht="15.75" customHeight="1">
      <c r="B69" s="219" t="s">
        <v>463</v>
      </c>
      <c r="C69" s="118">
        <f>SUM(C67:I67)</f>
        <v>11627498.484888274</v>
      </c>
      <c r="D69" s="118"/>
      <c r="E69" s="118"/>
      <c r="F69" s="118"/>
      <c r="G69" s="118"/>
      <c r="H69" s="118"/>
      <c r="I69" s="118"/>
    </row>
    <row r="70" spans="2:10" ht="15.75" customHeight="1">
      <c r="B70" s="71"/>
      <c r="C70" s="118"/>
      <c r="D70" s="118"/>
      <c r="E70" s="118"/>
      <c r="F70" s="118"/>
      <c r="G70" s="118"/>
      <c r="H70" s="118"/>
      <c r="I70" s="118"/>
    </row>
    <row r="71" spans="2:10" ht="15.75" customHeight="1">
      <c r="B71" s="219" t="s">
        <v>464</v>
      </c>
      <c r="C71" s="118">
        <f>'1.Project Cost and MOF'!D12</f>
        <v>9456907.0621553976</v>
      </c>
      <c r="D71" s="118"/>
      <c r="E71" s="118"/>
      <c r="F71" s="118"/>
      <c r="G71" s="118"/>
      <c r="H71" s="118"/>
      <c r="I71" s="118"/>
    </row>
    <row r="72" spans="2:10" ht="15.75" customHeight="1">
      <c r="B72" s="71"/>
      <c r="C72" s="220"/>
      <c r="D72" s="71"/>
      <c r="E72" s="71"/>
      <c r="F72" s="71"/>
      <c r="G72" s="71"/>
      <c r="H72" s="71"/>
      <c r="I72" s="71"/>
    </row>
    <row r="73" spans="2:10" ht="15.75" customHeight="1">
      <c r="B73" s="219" t="s">
        <v>465</v>
      </c>
      <c r="C73" s="220">
        <f>C69-C71</f>
        <v>2170591.4227328766</v>
      </c>
      <c r="D73" s="71"/>
      <c r="E73" s="71"/>
      <c r="F73" s="71"/>
      <c r="G73" s="71"/>
      <c r="H73" s="71"/>
      <c r="I73" s="71"/>
    </row>
    <row r="74" spans="2:10" ht="15.75" customHeight="1"/>
    <row r="75" spans="2:10" ht="34.5" customHeight="1">
      <c r="B75" s="364" t="s">
        <v>466</v>
      </c>
      <c r="C75" s="335"/>
      <c r="D75" s="335"/>
      <c r="E75" s="335"/>
      <c r="F75" s="335"/>
      <c r="G75" s="335"/>
      <c r="H75" s="335"/>
      <c r="I75" s="335"/>
      <c r="J75" s="335"/>
    </row>
    <row r="76" spans="2:10" ht="15.75" customHeight="1">
      <c r="B76" s="351" t="s">
        <v>467</v>
      </c>
      <c r="C76" s="335"/>
      <c r="D76" s="335"/>
      <c r="E76" s="335"/>
      <c r="F76" s="335"/>
      <c r="G76" s="335"/>
      <c r="H76" s="335"/>
      <c r="I76" s="335"/>
    </row>
    <row r="77" spans="2:10" ht="15.75" customHeight="1">
      <c r="B77" s="71"/>
      <c r="C77" s="71"/>
      <c r="D77" s="71"/>
      <c r="E77" s="71"/>
      <c r="F77" s="71"/>
      <c r="G77" s="71"/>
      <c r="H77" s="71"/>
      <c r="I77" s="71"/>
    </row>
    <row r="78" spans="2:10" ht="15.75" customHeight="1">
      <c r="B78" s="221" t="s">
        <v>149</v>
      </c>
      <c r="C78" s="221" t="s">
        <v>152</v>
      </c>
      <c r="D78" s="221" t="s">
        <v>153</v>
      </c>
      <c r="E78" s="221" t="s">
        <v>154</v>
      </c>
      <c r="F78" s="221" t="s">
        <v>155</v>
      </c>
      <c r="G78" s="221" t="s">
        <v>156</v>
      </c>
      <c r="H78" s="221" t="s">
        <v>157</v>
      </c>
      <c r="I78" s="221" t="s">
        <v>158</v>
      </c>
    </row>
    <row r="79" spans="2:10" ht="15.75" customHeight="1">
      <c r="B79" s="222"/>
      <c r="C79" s="223"/>
      <c r="D79" s="223"/>
      <c r="E79" s="223"/>
      <c r="F79" s="223"/>
      <c r="G79" s="223"/>
      <c r="H79" s="223"/>
      <c r="I79" s="223"/>
    </row>
    <row r="80" spans="2:10" ht="15.75" customHeight="1">
      <c r="B80" s="79" t="s">
        <v>468</v>
      </c>
      <c r="C80" s="78">
        <f>'6.Cons Profit &amp; Loss'!B51</f>
        <v>1842455.037404486</v>
      </c>
      <c r="D80" s="78">
        <f>'6.Cons Profit &amp; Loss'!C51</f>
        <v>1560365.1335441903</v>
      </c>
      <c r="E80" s="78">
        <f>'6.Cons Profit &amp; Loss'!D51</f>
        <v>1671944.7862903976</v>
      </c>
      <c r="F80" s="78">
        <f>'6.Cons Profit &amp; Loss'!E51</f>
        <v>1799982.0493510952</v>
      </c>
      <c r="G80" s="78">
        <f>'6.Cons Profit &amp; Loss'!F51</f>
        <v>1944217.468047813</v>
      </c>
      <c r="H80" s="78">
        <f>'6.Cons Profit &amp; Loss'!G51</f>
        <v>2173283.4678531531</v>
      </c>
      <c r="I80" s="78">
        <f>'6.Cons Profit &amp; Loss'!H51</f>
        <v>2350532.0828454341</v>
      </c>
    </row>
    <row r="81" spans="2:10" ht="15.75" customHeight="1">
      <c r="B81" s="76"/>
      <c r="C81" s="76"/>
      <c r="D81" s="76"/>
      <c r="E81" s="76"/>
      <c r="F81" s="76"/>
      <c r="G81" s="76"/>
      <c r="H81" s="76"/>
      <c r="I81" s="76"/>
    </row>
    <row r="82" spans="2:10" ht="15.75" customHeight="1">
      <c r="B82" s="79" t="s">
        <v>469</v>
      </c>
      <c r="C82" s="398">
        <f>AVERAGE(C80:I80)</f>
        <v>1906111.4321909384</v>
      </c>
      <c r="D82" s="339"/>
      <c r="E82" s="339"/>
      <c r="F82" s="339"/>
      <c r="G82" s="339"/>
      <c r="H82" s="339"/>
      <c r="I82" s="340"/>
    </row>
    <row r="83" spans="2:10" ht="15.75" customHeight="1">
      <c r="B83" s="79" t="s">
        <v>470</v>
      </c>
      <c r="C83" s="398">
        <f>'1.Project Cost and MOF'!D12</f>
        <v>9456907.0621553976</v>
      </c>
      <c r="D83" s="339"/>
      <c r="E83" s="339"/>
      <c r="F83" s="339"/>
      <c r="G83" s="339"/>
      <c r="H83" s="339"/>
      <c r="I83" s="340"/>
    </row>
    <row r="84" spans="2:10" ht="15.75" customHeight="1">
      <c r="B84" s="76"/>
      <c r="C84" s="76"/>
      <c r="D84" s="76"/>
      <c r="E84" s="76"/>
      <c r="F84" s="76"/>
      <c r="G84" s="76"/>
      <c r="H84" s="76"/>
      <c r="I84" s="76"/>
    </row>
    <row r="85" spans="2:10" ht="15.75" customHeight="1">
      <c r="B85" s="224" t="s">
        <v>471</v>
      </c>
      <c r="C85" s="393">
        <f>C82/C83</f>
        <v>0.20155759379499513</v>
      </c>
      <c r="D85" s="339"/>
      <c r="E85" s="339"/>
      <c r="F85" s="339"/>
      <c r="G85" s="339"/>
      <c r="H85" s="339"/>
      <c r="I85" s="340"/>
    </row>
    <row r="86" spans="2:10" ht="15.75" customHeight="1"/>
    <row r="87" spans="2:10" ht="15.75" customHeight="1"/>
    <row r="88" spans="2:10" ht="15.75" customHeight="1">
      <c r="B88" s="392" t="s">
        <v>472</v>
      </c>
      <c r="C88" s="335"/>
      <c r="D88" s="335"/>
      <c r="E88" s="335"/>
      <c r="F88" s="335"/>
      <c r="G88" s="335"/>
      <c r="H88" s="335"/>
      <c r="I88" s="335"/>
    </row>
    <row r="89" spans="2:10" ht="15.75" customHeight="1"/>
    <row r="90" spans="2:10" ht="15.75" customHeight="1">
      <c r="B90" s="351" t="s">
        <v>473</v>
      </c>
      <c r="C90" s="335"/>
      <c r="D90" s="335"/>
      <c r="E90" s="335"/>
      <c r="F90" s="335"/>
      <c r="G90" s="335"/>
      <c r="H90" s="335"/>
      <c r="I90" s="335"/>
      <c r="J90" s="335"/>
    </row>
    <row r="91" spans="2:10" ht="15.75" customHeight="1"/>
    <row r="92" spans="2:10" ht="15.75" customHeight="1">
      <c r="B92" s="214" t="s">
        <v>149</v>
      </c>
      <c r="C92" s="214" t="s">
        <v>436</v>
      </c>
      <c r="D92" s="214" t="s">
        <v>152</v>
      </c>
      <c r="E92" s="214" t="s">
        <v>153</v>
      </c>
      <c r="F92" s="214" t="s">
        <v>154</v>
      </c>
      <c r="G92" s="214" t="s">
        <v>155</v>
      </c>
      <c r="H92" s="214" t="s">
        <v>156</v>
      </c>
      <c r="I92" s="214" t="s">
        <v>157</v>
      </c>
      <c r="J92" s="214" t="s">
        <v>158</v>
      </c>
    </row>
    <row r="93" spans="2:10" ht="15.75" customHeight="1">
      <c r="B93" s="225"/>
      <c r="C93" s="225"/>
      <c r="D93" s="226"/>
      <c r="E93" s="226"/>
      <c r="F93" s="226"/>
      <c r="G93" s="226"/>
      <c r="H93" s="226"/>
      <c r="I93" s="226"/>
      <c r="J93" s="226"/>
    </row>
    <row r="94" spans="2:10" ht="15.75" customHeight="1">
      <c r="B94" s="138" t="s">
        <v>474</v>
      </c>
      <c r="C94" s="227">
        <f>'1.Project Cost and MOF'!D12</f>
        <v>9456907.0621553976</v>
      </c>
      <c r="D94" s="226"/>
      <c r="E94" s="226"/>
      <c r="F94" s="226"/>
      <c r="G94" s="226"/>
      <c r="H94" s="226"/>
      <c r="I94" s="226"/>
      <c r="J94" s="226"/>
    </row>
    <row r="95" spans="2:10" ht="15.75" customHeight="1">
      <c r="B95" s="138" t="str">
        <f>B58</f>
        <v>Profit after Tax &amp; Dividend</v>
      </c>
      <c r="C95" s="138"/>
      <c r="D95" s="228">
        <f>'6.Cons Profit &amp; Loss'!B51</f>
        <v>1842455.037404486</v>
      </c>
      <c r="E95" s="228">
        <f>'6.Cons Profit &amp; Loss'!C51</f>
        <v>1560365.1335441903</v>
      </c>
      <c r="F95" s="228">
        <f>'6.Cons Profit &amp; Loss'!D51</f>
        <v>1671944.7862903976</v>
      </c>
      <c r="G95" s="228">
        <f>'6.Cons Profit &amp; Loss'!E51</f>
        <v>1799982.0493510952</v>
      </c>
      <c r="H95" s="228">
        <f>'6.Cons Profit &amp; Loss'!F51</f>
        <v>1944217.468047813</v>
      </c>
      <c r="I95" s="228">
        <f>'6.Cons Profit &amp; Loss'!G51</f>
        <v>2173283.4678531531</v>
      </c>
      <c r="J95" s="228">
        <f>'6.Cons Profit &amp; Loss'!H51</f>
        <v>2350532.0828454341</v>
      </c>
    </row>
    <row r="96" spans="2:10" ht="15.75" customHeight="1">
      <c r="B96" s="138" t="str">
        <f t="shared" ref="B96:B97" si="10">B60</f>
        <v>Add: Deprication</v>
      </c>
      <c r="C96" s="138"/>
      <c r="D96" s="228">
        <f>'6.Cons Profit &amp; Loss'!B42</f>
        <v>449062.26</v>
      </c>
      <c r="E96" s="228">
        <f>'6.Cons Profit &amp; Loss'!C42</f>
        <v>449062.26</v>
      </c>
      <c r="F96" s="228">
        <f>'6.Cons Profit &amp; Loss'!D42</f>
        <v>449062.26</v>
      </c>
      <c r="G96" s="228">
        <f>'6.Cons Profit &amp; Loss'!E42</f>
        <v>449062.26</v>
      </c>
      <c r="H96" s="228">
        <f>'6.Cons Profit &amp; Loss'!F42</f>
        <v>449062.26</v>
      </c>
      <c r="I96" s="228">
        <f>'6.Cons Profit &amp; Loss'!G42</f>
        <v>449062.26</v>
      </c>
      <c r="J96" s="228">
        <f>'6.Cons Profit &amp; Loss'!H42</f>
        <v>449062.26</v>
      </c>
    </row>
    <row r="97" spans="2:10" ht="15.75" customHeight="1">
      <c r="B97" s="138" t="str">
        <f t="shared" si="10"/>
        <v>Add. Preliminary exp Written off</v>
      </c>
      <c r="C97" s="138"/>
      <c r="D97" s="228">
        <f>'6.Cons Profit &amp; Loss'!B43</f>
        <v>92600</v>
      </c>
      <c r="E97" s="228">
        <f>'6.Cons Profit &amp; Loss'!C43</f>
        <v>92600</v>
      </c>
      <c r="F97" s="228">
        <f>'6.Cons Profit &amp; Loss'!D43</f>
        <v>92600</v>
      </c>
      <c r="G97" s="228">
        <f>'6.Cons Profit &amp; Loss'!E43</f>
        <v>92600</v>
      </c>
      <c r="H97" s="228">
        <f>'6.Cons Profit &amp; Loss'!F43</f>
        <v>92600</v>
      </c>
      <c r="I97" s="228">
        <f>'6.Cons Profit &amp; Loss'!G43</f>
        <v>0</v>
      </c>
      <c r="J97" s="228">
        <f>'6.Cons Profit &amp; Loss'!H43</f>
        <v>0</v>
      </c>
    </row>
    <row r="98" spans="2:10" ht="15.75" customHeight="1">
      <c r="B98" s="138" t="str">
        <f>B63</f>
        <v xml:space="preserve">Net Cash Accrual (A)      </v>
      </c>
      <c r="C98" s="138"/>
      <c r="D98" s="228">
        <f t="shared" ref="D98:J98" si="11">SUM(D95:D97)</f>
        <v>2384117.2974044858</v>
      </c>
      <c r="E98" s="228">
        <f t="shared" si="11"/>
        <v>2102027.3935441906</v>
      </c>
      <c r="F98" s="228">
        <f t="shared" si="11"/>
        <v>2213607.0462903976</v>
      </c>
      <c r="G98" s="228">
        <f t="shared" si="11"/>
        <v>2341644.309351095</v>
      </c>
      <c r="H98" s="228">
        <f t="shared" si="11"/>
        <v>2485879.7280478133</v>
      </c>
      <c r="I98" s="228">
        <f t="shared" si="11"/>
        <v>2622345.7278531529</v>
      </c>
      <c r="J98" s="228">
        <f t="shared" si="11"/>
        <v>2799594.3428454343</v>
      </c>
    </row>
    <row r="99" spans="2:10" ht="15.75" customHeight="1">
      <c r="B99" s="138" t="s">
        <v>475</v>
      </c>
      <c r="C99" s="229"/>
      <c r="D99" s="230">
        <f>D98-C94</f>
        <v>-7072789.7647509119</v>
      </c>
      <c r="E99" s="230">
        <f t="shared" ref="E99:H99" si="12">D99+E98</f>
        <v>-4970762.3712067213</v>
      </c>
      <c r="F99" s="230">
        <f t="shared" si="12"/>
        <v>-2757155.3249163236</v>
      </c>
      <c r="G99" s="230">
        <f t="shared" si="12"/>
        <v>-415511.01556522865</v>
      </c>
      <c r="H99" s="230">
        <f t="shared" si="12"/>
        <v>2070368.7124825846</v>
      </c>
      <c r="I99" s="231"/>
      <c r="J99" s="231"/>
    </row>
    <row r="100" spans="2:10" ht="15.75" customHeight="1">
      <c r="B100" s="82"/>
      <c r="C100" s="82"/>
      <c r="D100" s="82"/>
      <c r="E100" s="82"/>
      <c r="F100" s="82"/>
      <c r="G100" s="82"/>
      <c r="H100" s="82"/>
      <c r="I100" s="82"/>
      <c r="J100" s="82"/>
    </row>
    <row r="101" spans="2:10" ht="15.75" customHeight="1">
      <c r="B101" s="162" t="s">
        <v>476</v>
      </c>
      <c r="C101" s="82"/>
      <c r="D101" s="232">
        <f>4+(-G99/H98)</f>
        <v>4.1671484790181434</v>
      </c>
      <c r="E101" s="82"/>
      <c r="F101" s="82"/>
      <c r="G101" s="82"/>
      <c r="H101" s="82"/>
      <c r="I101" s="82"/>
      <c r="J101" s="82"/>
    </row>
    <row r="102" spans="2:10" ht="15.75" customHeight="1">
      <c r="B102" s="82"/>
      <c r="C102" s="82"/>
      <c r="D102" s="82"/>
      <c r="E102" s="82"/>
      <c r="F102" s="82"/>
      <c r="G102" s="82"/>
      <c r="H102" s="82"/>
      <c r="I102" s="82"/>
      <c r="J102" s="82"/>
    </row>
    <row r="103" spans="2:10" ht="15.75" customHeight="1">
      <c r="B103" s="392" t="s">
        <v>477</v>
      </c>
      <c r="C103" s="335"/>
      <c r="D103" s="335"/>
      <c r="E103" s="335"/>
      <c r="F103" s="335"/>
      <c r="G103" s="335"/>
      <c r="H103" s="335"/>
      <c r="I103" s="335"/>
      <c r="J103" s="335"/>
    </row>
    <row r="104" spans="2:10" ht="15.75" customHeight="1"/>
    <row r="105" spans="2:10" ht="15.75" customHeight="1">
      <c r="B105" s="351" t="s">
        <v>478</v>
      </c>
      <c r="C105" s="335"/>
      <c r="D105" s="335"/>
      <c r="E105" s="335"/>
      <c r="F105" s="335"/>
      <c r="G105" s="335"/>
      <c r="H105" s="335"/>
      <c r="I105" s="335"/>
    </row>
    <row r="106" spans="2:10" ht="15.75" customHeight="1"/>
    <row r="107" spans="2:10" ht="15.75" customHeight="1">
      <c r="B107" s="221" t="s">
        <v>149</v>
      </c>
      <c r="C107" s="221" t="s">
        <v>152</v>
      </c>
      <c r="D107" s="221" t="s">
        <v>153</v>
      </c>
      <c r="E107" s="221" t="s">
        <v>154</v>
      </c>
      <c r="F107" s="221" t="s">
        <v>155</v>
      </c>
      <c r="G107" s="221" t="s">
        <v>156</v>
      </c>
      <c r="H107" s="221" t="s">
        <v>157</v>
      </c>
      <c r="I107" s="221" t="s">
        <v>158</v>
      </c>
    </row>
    <row r="108" spans="2:10" ht="15.75" customHeight="1">
      <c r="B108" s="222"/>
      <c r="C108" s="223"/>
      <c r="D108" s="223"/>
      <c r="E108" s="223"/>
      <c r="F108" s="223"/>
      <c r="G108" s="223"/>
      <c r="H108" s="223"/>
      <c r="I108" s="223"/>
    </row>
    <row r="109" spans="2:10" ht="15.75" customHeight="1">
      <c r="B109" s="76" t="s">
        <v>479</v>
      </c>
      <c r="C109" s="78">
        <f>'6.Cons Profit &amp; Loss'!B40</f>
        <v>3543574.9600400031</v>
      </c>
      <c r="D109" s="78">
        <f>'6.Cons Profit &amp; Loss'!C40</f>
        <v>3347716.458701998</v>
      </c>
      <c r="E109" s="78">
        <f>'6.Cons Profit &amp; Loss'!D40</f>
        <v>3534903.6935120821</v>
      </c>
      <c r="F109" s="78">
        <f>'6.Cons Profit &amp; Loss'!E40</f>
        <v>3732440.3606564403</v>
      </c>
      <c r="G109" s="78">
        <f>'6.Cons Profit &amp; Loss'!F40</f>
        <v>3940893.4352814555</v>
      </c>
      <c r="H109" s="78">
        <f>'6.Cons Profit &amp; Loss'!G40</f>
        <v>4160860.7164673358</v>
      </c>
      <c r="I109" s="78">
        <f>'6.Cons Profit &amp; Loss'!H40</f>
        <v>4392972.4921835959</v>
      </c>
    </row>
    <row r="110" spans="2:10" ht="15.75" customHeight="1">
      <c r="B110" s="76" t="s">
        <v>480</v>
      </c>
      <c r="C110" s="78">
        <f>'6.Cons Profit &amp; Loss'!B42</f>
        <v>449062.26</v>
      </c>
      <c r="D110" s="78">
        <f>'6.Cons Profit &amp; Loss'!C42</f>
        <v>449062.26</v>
      </c>
      <c r="E110" s="78">
        <f>'6.Cons Profit &amp; Loss'!D42</f>
        <v>449062.26</v>
      </c>
      <c r="F110" s="78">
        <f>'6.Cons Profit &amp; Loss'!E42</f>
        <v>449062.26</v>
      </c>
      <c r="G110" s="78">
        <f>'6.Cons Profit &amp; Loss'!F42</f>
        <v>449062.26</v>
      </c>
      <c r="H110" s="78">
        <f>'6.Cons Profit &amp; Loss'!G42</f>
        <v>449062.26</v>
      </c>
      <c r="I110" s="78">
        <f>'6.Cons Profit &amp; Loss'!H42</f>
        <v>449062.26</v>
      </c>
    </row>
    <row r="111" spans="2:10" ht="15.75" customHeight="1">
      <c r="B111" s="76" t="s">
        <v>481</v>
      </c>
      <c r="C111" s="78">
        <f>'6.Cons Profit &amp; Loss'!B43</f>
        <v>92600</v>
      </c>
      <c r="D111" s="78">
        <f>'6.Cons Profit &amp; Loss'!C43</f>
        <v>92600</v>
      </c>
      <c r="E111" s="78">
        <f>'6.Cons Profit &amp; Loss'!D43</f>
        <v>92600</v>
      </c>
      <c r="F111" s="78">
        <f>'6.Cons Profit &amp; Loss'!E43</f>
        <v>92600</v>
      </c>
      <c r="G111" s="78">
        <f>'6.Cons Profit &amp; Loss'!F43</f>
        <v>92600</v>
      </c>
      <c r="H111" s="78">
        <f>'6.Cons Profit &amp; Loss'!G43</f>
        <v>0</v>
      </c>
      <c r="I111" s="78">
        <f>'6.Cons Profit &amp; Loss'!H43</f>
        <v>0</v>
      </c>
    </row>
    <row r="112" spans="2:10" ht="15.75" customHeight="1">
      <c r="B112" s="76" t="s">
        <v>482</v>
      </c>
      <c r="C112" s="78">
        <f>'8.Cash Flow '!C26</f>
        <v>378205.47522556561</v>
      </c>
      <c r="D112" s="78">
        <f>'8.Cash Flow '!D26</f>
        <v>342604.70158052916</v>
      </c>
      <c r="E112" s="78">
        <f>'8.Cash Flow '!E26</f>
        <v>296229.20788647176</v>
      </c>
      <c r="F112" s="78">
        <f>'8.Cash Flow '!F26</f>
        <v>243972.14080728052</v>
      </c>
      <c r="G112" s="78">
        <f>'8.Cash Flow '!G26</f>
        <v>185087.56962116263</v>
      </c>
      <c r="H112" s="78">
        <f>'8.Cash Flow '!H26</f>
        <v>118734.96092005713</v>
      </c>
      <c r="I112" s="78">
        <f>'8.Cash Flow '!I26</f>
        <v>43967.180621099084</v>
      </c>
    </row>
    <row r="113" spans="2:18" ht="15.75" customHeight="1">
      <c r="B113" s="79" t="s">
        <v>88</v>
      </c>
      <c r="C113" s="80">
        <f t="shared" ref="C113:I113" si="13">SUM(C109:C112)</f>
        <v>4463442.6952655688</v>
      </c>
      <c r="D113" s="80">
        <f t="shared" si="13"/>
        <v>4231983.4202825269</v>
      </c>
      <c r="E113" s="80">
        <f t="shared" si="13"/>
        <v>4372795.1613985533</v>
      </c>
      <c r="F113" s="80">
        <f t="shared" si="13"/>
        <v>4518074.7614637204</v>
      </c>
      <c r="G113" s="80">
        <f t="shared" si="13"/>
        <v>4667643.2649026178</v>
      </c>
      <c r="H113" s="80">
        <f t="shared" si="13"/>
        <v>4728657.9373873929</v>
      </c>
      <c r="I113" s="80">
        <f t="shared" si="13"/>
        <v>4886001.9328046944</v>
      </c>
    </row>
    <row r="114" spans="2:18" ht="15.75" customHeight="1">
      <c r="B114" s="76"/>
      <c r="C114" s="76"/>
      <c r="D114" s="76"/>
      <c r="E114" s="76"/>
      <c r="F114" s="76"/>
      <c r="G114" s="76"/>
      <c r="H114" s="76"/>
      <c r="I114" s="76"/>
    </row>
    <row r="115" spans="2:18" ht="15.75" customHeight="1">
      <c r="B115" s="76" t="s">
        <v>483</v>
      </c>
      <c r="C115" s="80">
        <f>'8.Cash Flow '!C25+'8.Cash Flow '!C26</f>
        <v>545302.1258970896</v>
      </c>
      <c r="D115" s="80">
        <f>'8.Cash Flow '!D25+'8.Cash Flow '!D26</f>
        <v>708269.8517941793</v>
      </c>
      <c r="E115" s="80">
        <f>'8.Cash Flow '!E25+'8.Cash Flow '!E26</f>
        <v>708269.85179417941</v>
      </c>
      <c r="F115" s="80">
        <f>'8.Cash Flow '!F25+'8.Cash Flow '!F26</f>
        <v>708269.8517941793</v>
      </c>
      <c r="G115" s="80">
        <f>'8.Cash Flow '!G25+'8.Cash Flow '!G26</f>
        <v>708269.85179417918</v>
      </c>
      <c r="H115" s="80">
        <f>'8.Cash Flow '!H25+'8.Cash Flow '!H26</f>
        <v>708269.8517941793</v>
      </c>
      <c r="I115" s="80">
        <f>'8.Cash Flow '!I25+'8.Cash Flow '!I26</f>
        <v>708269.8517941793</v>
      </c>
    </row>
    <row r="116" spans="2:18" ht="15.75" customHeight="1">
      <c r="B116" s="76"/>
      <c r="C116" s="76"/>
      <c r="D116" s="76"/>
      <c r="E116" s="76"/>
      <c r="F116" s="76"/>
      <c r="G116" s="76"/>
      <c r="H116" s="76"/>
      <c r="I116" s="76"/>
    </row>
    <row r="117" spans="2:18" ht="15.75" customHeight="1">
      <c r="B117" s="79" t="s">
        <v>484</v>
      </c>
      <c r="C117" s="233">
        <f t="shared" ref="C117:I117" si="14">C113/C115</f>
        <v>8.1852655313284401</v>
      </c>
      <c r="D117" s="233">
        <f t="shared" si="14"/>
        <v>5.9751003230790154</v>
      </c>
      <c r="E117" s="233">
        <f t="shared" si="14"/>
        <v>6.1739111869881924</v>
      </c>
      <c r="F117" s="233">
        <f t="shared" si="14"/>
        <v>6.379030181813607</v>
      </c>
      <c r="G117" s="233">
        <f t="shared" si="14"/>
        <v>6.590204641745812</v>
      </c>
      <c r="H117" s="233">
        <f t="shared" si="14"/>
        <v>6.6763507233984658</v>
      </c>
      <c r="I117" s="233">
        <f t="shared" si="14"/>
        <v>6.8985033323493052</v>
      </c>
    </row>
    <row r="118" spans="2:18" ht="15.75" customHeight="1">
      <c r="B118" s="71"/>
      <c r="C118" s="71"/>
      <c r="D118" s="71"/>
      <c r="E118" s="71"/>
      <c r="F118" s="71"/>
      <c r="G118" s="71"/>
      <c r="H118" s="71"/>
      <c r="I118" s="71"/>
    </row>
    <row r="119" spans="2:18" ht="15.75" customHeight="1">
      <c r="B119" s="71" t="s">
        <v>485</v>
      </c>
      <c r="C119" s="126">
        <f>AVERAGE(C117:I117)</f>
        <v>6.6969094172432628</v>
      </c>
      <c r="D119" s="71"/>
      <c r="E119" s="71"/>
      <c r="F119" s="71"/>
      <c r="G119" s="71"/>
      <c r="H119" s="71"/>
      <c r="I119" s="71"/>
    </row>
    <row r="120" spans="2:18" ht="15.75" customHeight="1"/>
    <row r="121" spans="2:18" ht="29.25" customHeight="1">
      <c r="B121" s="364" t="s">
        <v>486</v>
      </c>
      <c r="C121" s="335"/>
      <c r="D121" s="335"/>
      <c r="E121" s="335"/>
      <c r="F121" s="335"/>
      <c r="G121" s="335"/>
      <c r="H121" s="335"/>
      <c r="I121" s="335"/>
      <c r="J121" s="335"/>
    </row>
    <row r="122" spans="2:18" ht="15.75" customHeight="1"/>
    <row r="123" spans="2:18" ht="15.75" customHeight="1">
      <c r="B123" s="397" t="s">
        <v>487</v>
      </c>
      <c r="C123" s="337"/>
      <c r="D123" s="337"/>
      <c r="E123" s="337"/>
      <c r="F123" s="337"/>
      <c r="G123" s="337"/>
      <c r="H123" s="337"/>
      <c r="I123" s="337"/>
      <c r="K123" s="390"/>
      <c r="L123" s="335"/>
      <c r="M123" s="335"/>
      <c r="N123" s="335"/>
      <c r="O123" s="335"/>
      <c r="P123" s="335"/>
      <c r="Q123" s="335"/>
      <c r="R123" s="335"/>
    </row>
    <row r="124" spans="2:18" ht="15.75" customHeight="1">
      <c r="B124" s="128" t="s">
        <v>488</v>
      </c>
      <c r="C124" s="129" t="s">
        <v>152</v>
      </c>
      <c r="D124" s="129" t="s">
        <v>153</v>
      </c>
      <c r="E124" s="129" t="s">
        <v>154</v>
      </c>
      <c r="F124" s="129" t="s">
        <v>155</v>
      </c>
      <c r="G124" s="129" t="s">
        <v>156</v>
      </c>
      <c r="H124" s="129" t="s">
        <v>157</v>
      </c>
      <c r="I124" s="129" t="s">
        <v>158</v>
      </c>
    </row>
    <row r="125" spans="2:18" ht="15.75" customHeight="1">
      <c r="B125" s="76" t="str">
        <f>'6.Cons Profit &amp; Loss'!A8</f>
        <v>Faclitiy 1 - Cleaning &amp; Grading</v>
      </c>
      <c r="C125" s="78">
        <f>'6.Cons Profit &amp; Loss'!B8*(1+$M$126)</f>
        <v>29625211.349999998</v>
      </c>
      <c r="D125" s="78">
        <f>'6.Cons Profit &amp; Loss'!C8*(1+$M$126)</f>
        <v>32743654.649999999</v>
      </c>
      <c r="E125" s="78">
        <f>'6.Cons Profit &amp; Loss'!D8*(1+$M$126)</f>
        <v>34380837.3825</v>
      </c>
      <c r="F125" s="78">
        <f>'6.Cons Profit &amp; Loss'!E8*(1+$M$126)</f>
        <v>36099879.251625001</v>
      </c>
      <c r="G125" s="78">
        <f>'6.Cons Profit &amp; Loss'!F8*(1+$M$126)</f>
        <v>37904873.214206256</v>
      </c>
      <c r="H125" s="78">
        <f>'6.Cons Profit &amp; Loss'!G8*(1+$M$126)</f>
        <v>39800116.874916568</v>
      </c>
      <c r="I125" s="78">
        <f>'6.Cons Profit &amp; Loss'!H8*(1+$M$126)</f>
        <v>41790122.718662396</v>
      </c>
    </row>
    <row r="126" spans="2:18" ht="15.75" customHeight="1">
      <c r="B126" s="76" t="str">
        <f>'6.Cons Profit &amp; Loss'!A9</f>
        <v>Faclitiy 2 - Processing Unit- Turmeric Processing</v>
      </c>
      <c r="C126" s="78">
        <f>'6.Cons Profit &amp; Loss'!B9*(1+$M$126)</f>
        <v>24494570.100000001</v>
      </c>
      <c r="D126" s="78">
        <f>'6.Cons Profit &amp; Loss'!C9*(1+$M$126)</f>
        <v>27072945.900000002</v>
      </c>
      <c r="E126" s="78">
        <f>'6.Cons Profit &amp; Loss'!D9*(1+$M$126)</f>
        <v>28426593.195</v>
      </c>
      <c r="F126" s="78">
        <f>'6.Cons Profit &amp; Loss'!E9*(1+$M$126)</f>
        <v>29847922.854750004</v>
      </c>
      <c r="G126" s="78">
        <f>'6.Cons Profit &amp; Loss'!F9*(1+$M$126)</f>
        <v>31340318.997487504</v>
      </c>
      <c r="H126" s="78">
        <f>'6.Cons Profit &amp; Loss'!G9*(1+$M$126)</f>
        <v>32907334.94736189</v>
      </c>
      <c r="I126" s="78">
        <f>'6.Cons Profit &amp; Loss'!H9*(1+$M$126)</f>
        <v>34552701.694729984</v>
      </c>
      <c r="L126" s="162" t="s">
        <v>489</v>
      </c>
      <c r="M126" s="234">
        <v>0.05</v>
      </c>
    </row>
    <row r="127" spans="2:18" ht="15.75" customHeight="1">
      <c r="B127" s="76" t="str">
        <f>'6.Cons Profit &amp; Loss'!A10</f>
        <v>Faclitiy 3 - Warehouse</v>
      </c>
      <c r="C127" s="78">
        <f>'6.Cons Profit &amp; Loss'!B10*(1+$M$126)</f>
        <v>0</v>
      </c>
      <c r="D127" s="78">
        <f>'6.Cons Profit &amp; Loss'!C10*(1+$M$126)</f>
        <v>0</v>
      </c>
      <c r="E127" s="78">
        <f>'6.Cons Profit &amp; Loss'!D10*(1+$M$126)</f>
        <v>0</v>
      </c>
      <c r="F127" s="78">
        <f>'6.Cons Profit &amp; Loss'!E10*(1+$M$126)</f>
        <v>0</v>
      </c>
      <c r="G127" s="78">
        <f>'6.Cons Profit &amp; Loss'!F10*(1+$M$126)</f>
        <v>0</v>
      </c>
      <c r="H127" s="78">
        <f>'6.Cons Profit &amp; Loss'!G10*(1+$M$126)</f>
        <v>0</v>
      </c>
      <c r="I127" s="78">
        <f>'6.Cons Profit &amp; Loss'!H10*(1+$M$126)</f>
        <v>0</v>
      </c>
      <c r="L127" s="162" t="s">
        <v>490</v>
      </c>
      <c r="M127" s="234">
        <v>0.05</v>
      </c>
    </row>
    <row r="128" spans="2:18" ht="15.75" customHeight="1">
      <c r="B128" s="76" t="str">
        <f>'6.Cons Profit &amp; Loss'!A11</f>
        <v xml:space="preserve">Faclitiy 4 - Custom Hiring </v>
      </c>
      <c r="C128" s="78">
        <f>'6.Cons Profit &amp; Loss'!B11*(1+$M$126)</f>
        <v>0</v>
      </c>
      <c r="D128" s="78">
        <f>'6.Cons Profit &amp; Loss'!C11*(1+$M$126)</f>
        <v>0</v>
      </c>
      <c r="E128" s="78">
        <f>'6.Cons Profit &amp; Loss'!D11*(1+$M$126)</f>
        <v>0</v>
      </c>
      <c r="F128" s="78">
        <f>'6.Cons Profit &amp; Loss'!E11*(1+$M$126)</f>
        <v>0</v>
      </c>
      <c r="G128" s="78">
        <f>'6.Cons Profit &amp; Loss'!F11*(1+$M$126)</f>
        <v>0</v>
      </c>
      <c r="H128" s="78">
        <f>'6.Cons Profit &amp; Loss'!G11*(1+$M$126)</f>
        <v>0</v>
      </c>
      <c r="I128" s="78">
        <f>'6.Cons Profit &amp; Loss'!H11*(1+$M$126)</f>
        <v>0</v>
      </c>
    </row>
    <row r="129" spans="2:9" ht="15.75" customHeight="1">
      <c r="B129" s="76" t="str">
        <f>'6.Cons Profit &amp; Loss'!A12</f>
        <v>Faclitiy 5 - Agri Input Centre</v>
      </c>
      <c r="C129" s="78">
        <f>'6.Cons Profit &amp; Loss'!B12*(1+$M$126)</f>
        <v>10518263.4375</v>
      </c>
      <c r="D129" s="78">
        <f>'6.Cons Profit &amp; Loss'!C12*(1+$M$126)</f>
        <v>12475001.109375002</v>
      </c>
      <c r="E129" s="78">
        <f>'6.Cons Profit &amp; Loss'!D12*(1+$M$126)</f>
        <v>14037729.742968753</v>
      </c>
      <c r="F129" s="78">
        <f>'6.Cons Profit &amp; Loss'!E12*(1+$M$126)</f>
        <v>15725543.737148443</v>
      </c>
      <c r="G129" s="78">
        <f>'6.Cons Profit &amp; Loss'!F12*(1+$M$126)</f>
        <v>17547044.80638868</v>
      </c>
      <c r="H129" s="78">
        <f>'6.Cons Profit &amp; Loss'!G12*(1+$M$126)</f>
        <v>19511382.123210069</v>
      </c>
      <c r="I129" s="78">
        <f>'6.Cons Profit &amp; Loss'!H12*(1+$M$126)</f>
        <v>21628285.559697628</v>
      </c>
    </row>
    <row r="130" spans="2:9" ht="15.75" customHeight="1">
      <c r="B130" s="76" t="str">
        <f>'6.Cons Profit &amp; Loss'!A13</f>
        <v>Facility 6 - Processing Unit - Horti Commodity</v>
      </c>
      <c r="C130" s="78">
        <f>'6.Cons Profit &amp; Loss'!B13*(1+$M$126)</f>
        <v>0</v>
      </c>
      <c r="D130" s="78">
        <f>'6.Cons Profit &amp; Loss'!C13*(1+$M$126)</f>
        <v>0</v>
      </c>
      <c r="E130" s="78">
        <f>'6.Cons Profit &amp; Loss'!D13*(1+$M$126)</f>
        <v>0</v>
      </c>
      <c r="F130" s="78">
        <f>'6.Cons Profit &amp; Loss'!E13*(1+$M$126)</f>
        <v>0</v>
      </c>
      <c r="G130" s="78">
        <f>'6.Cons Profit &amp; Loss'!F13*(1+$M$126)</f>
        <v>0</v>
      </c>
      <c r="H130" s="78">
        <f>'6.Cons Profit &amp; Loss'!G13*(1+$M$126)</f>
        <v>0</v>
      </c>
      <c r="I130" s="78">
        <f>'6.Cons Profit &amp; Loss'!H13*(1+$M$126)</f>
        <v>0</v>
      </c>
    </row>
    <row r="131" spans="2:9" ht="15.75" customHeight="1">
      <c r="B131" s="76">
        <f>'6.Cons Profit &amp; Loss'!A14</f>
        <v>0</v>
      </c>
      <c r="C131" s="78">
        <f>'6.Cons Profit &amp; Loss'!B14*(1+$M$126)</f>
        <v>0</v>
      </c>
      <c r="D131" s="78">
        <f>'6.Cons Profit &amp; Loss'!C14*(1+$M$126)</f>
        <v>0</v>
      </c>
      <c r="E131" s="78">
        <f>'6.Cons Profit &amp; Loss'!D14*(1+$M$126)</f>
        <v>0</v>
      </c>
      <c r="F131" s="78">
        <f>'6.Cons Profit &amp; Loss'!E14*(1+$M$126)</f>
        <v>0</v>
      </c>
      <c r="G131" s="78">
        <f>'6.Cons Profit &amp; Loss'!F14*(1+$M$126)</f>
        <v>0</v>
      </c>
      <c r="H131" s="78">
        <f>'6.Cons Profit &amp; Loss'!G14*(1+$M$126)</f>
        <v>0</v>
      </c>
      <c r="I131" s="78">
        <f>'6.Cons Profit &amp; Loss'!H14*(1+$M$126)</f>
        <v>0</v>
      </c>
    </row>
    <row r="132" spans="2:9" ht="15.75" customHeight="1">
      <c r="B132" s="76" t="s">
        <v>491</v>
      </c>
      <c r="C132" s="78">
        <f t="shared" ref="C132:I132" si="15">SUM(C125:C131)</f>
        <v>64638044.887500003</v>
      </c>
      <c r="D132" s="78">
        <f t="shared" si="15"/>
        <v>72291601.659374997</v>
      </c>
      <c r="E132" s="78">
        <f t="shared" si="15"/>
        <v>76845160.320468754</v>
      </c>
      <c r="F132" s="78">
        <f t="shared" si="15"/>
        <v>81673345.843523458</v>
      </c>
      <c r="G132" s="78">
        <f t="shared" si="15"/>
        <v>86792237.01808244</v>
      </c>
      <c r="H132" s="78">
        <f t="shared" si="15"/>
        <v>92218833.945488527</v>
      </c>
      <c r="I132" s="78">
        <f t="shared" si="15"/>
        <v>97971109.973090008</v>
      </c>
    </row>
    <row r="133" spans="2:9" ht="15.75" customHeight="1">
      <c r="B133" s="76" t="s">
        <v>492</v>
      </c>
      <c r="C133" s="78"/>
      <c r="D133" s="78"/>
      <c r="E133" s="78"/>
      <c r="F133" s="78"/>
      <c r="G133" s="78"/>
      <c r="H133" s="78"/>
      <c r="I133" s="78"/>
    </row>
    <row r="134" spans="2:9" ht="15.75" customHeight="1">
      <c r="B134" s="76" t="s">
        <v>493</v>
      </c>
      <c r="C134" s="78">
        <f>'6.Cons Profit &amp; Loss'!B36</f>
        <v>1469200</v>
      </c>
      <c r="D134" s="78">
        <f>'6.Cons Profit &amp; Loss'!C36</f>
        <v>1542660</v>
      </c>
      <c r="E134" s="78">
        <f>'6.Cons Profit &amp; Loss'!D36</f>
        <v>1619793</v>
      </c>
      <c r="F134" s="78">
        <f>'6.Cons Profit &amp; Loss'!E36</f>
        <v>1700782.6500000004</v>
      </c>
      <c r="G134" s="78">
        <f>'6.Cons Profit &amp; Loss'!F36</f>
        <v>1785821.7825000004</v>
      </c>
      <c r="H134" s="78">
        <f>'6.Cons Profit &amp; Loss'!G36</f>
        <v>1875112.8716250004</v>
      </c>
      <c r="I134" s="78">
        <f>'6.Cons Profit &amp; Loss'!H36</f>
        <v>1968868.5152062506</v>
      </c>
    </row>
    <row r="135" spans="2:9" ht="15.75" customHeight="1">
      <c r="B135" s="76" t="s">
        <v>355</v>
      </c>
      <c r="C135" s="78">
        <f>'6.Cons Profit &amp; Loss'!B25*(1+M126)</f>
        <v>59374631.179458</v>
      </c>
      <c r="D135" s="78">
        <f>'6.Cons Profit &amp; Loss'!C25*(1+N126)</f>
        <v>63958767.978798002</v>
      </c>
      <c r="E135" s="78">
        <f>'6.Cons Profit &amp; Loss'!D25*(1+O126)</f>
        <v>68031170.278362915</v>
      </c>
      <c r="F135" s="78">
        <f>'6.Cons Profit &amp; Loss'!E25*(1+P126)</f>
        <v>72350915.887937307</v>
      </c>
      <c r="G135" s="78">
        <f>'6.Cons Profit &amp; Loss'!F25*(1+Q126)</f>
        <v>76932558.13277325</v>
      </c>
      <c r="H135" s="78">
        <f>'6.Cons Profit &amp; Loss'!G25*(1+R126)</f>
        <v>81791487.312372908</v>
      </c>
      <c r="I135" s="78">
        <f>'6.Cons Profit &amp; Loss'!H25*(1+S126)</f>
        <v>86943978.014600635</v>
      </c>
    </row>
    <row r="136" spans="2:9" ht="15.75" customHeight="1">
      <c r="B136" s="76" t="s">
        <v>494</v>
      </c>
      <c r="C136" s="78">
        <f t="shared" ref="C136:I136" si="16">SUM(C134:C135)</f>
        <v>60843831.179458</v>
      </c>
      <c r="D136" s="78">
        <f t="shared" si="16"/>
        <v>65501427.978798002</v>
      </c>
      <c r="E136" s="78">
        <f t="shared" si="16"/>
        <v>69650963.278362915</v>
      </c>
      <c r="F136" s="78">
        <f t="shared" si="16"/>
        <v>74051698.537937313</v>
      </c>
      <c r="G136" s="78">
        <f t="shared" si="16"/>
        <v>78718379.915273249</v>
      </c>
      <c r="H136" s="78">
        <f t="shared" si="16"/>
        <v>83666600.183997914</v>
      </c>
      <c r="I136" s="78">
        <f t="shared" si="16"/>
        <v>88912846.529806882</v>
      </c>
    </row>
    <row r="137" spans="2:9" ht="15.75" customHeight="1">
      <c r="B137" s="79" t="s">
        <v>495</v>
      </c>
      <c r="C137" s="80">
        <f t="shared" ref="C137:I137" si="17">+C132-C136</f>
        <v>3794213.7080420032</v>
      </c>
      <c r="D137" s="80">
        <f t="shared" si="17"/>
        <v>6790173.680576995</v>
      </c>
      <c r="E137" s="80">
        <f t="shared" si="17"/>
        <v>7194197.0421058387</v>
      </c>
      <c r="F137" s="80">
        <f t="shared" si="17"/>
        <v>7621647.3055861443</v>
      </c>
      <c r="G137" s="80">
        <f t="shared" si="17"/>
        <v>8073857.1028091908</v>
      </c>
      <c r="H137" s="80">
        <f t="shared" si="17"/>
        <v>8552233.7614906132</v>
      </c>
      <c r="I137" s="80">
        <f t="shared" si="17"/>
        <v>9058263.4432831258</v>
      </c>
    </row>
    <row r="138" spans="2:9" ht="15.75" customHeight="1">
      <c r="B138" s="71"/>
      <c r="C138" s="235"/>
      <c r="D138" s="235"/>
      <c r="E138" s="235"/>
      <c r="F138" s="235"/>
      <c r="G138" s="235"/>
      <c r="H138" s="235"/>
      <c r="I138" s="235"/>
    </row>
    <row r="139" spans="2:9" ht="15.75" customHeight="1">
      <c r="B139" s="128" t="s">
        <v>496</v>
      </c>
      <c r="C139" s="129" t="s">
        <v>152</v>
      </c>
      <c r="D139" s="129" t="s">
        <v>153</v>
      </c>
      <c r="E139" s="129" t="s">
        <v>154</v>
      </c>
      <c r="F139" s="129" t="s">
        <v>155</v>
      </c>
      <c r="G139" s="129" t="s">
        <v>156</v>
      </c>
      <c r="H139" s="129" t="s">
        <v>157</v>
      </c>
      <c r="I139" s="129" t="s">
        <v>158</v>
      </c>
    </row>
    <row r="140" spans="2:9" ht="15.75" customHeight="1">
      <c r="B140" s="76" t="str">
        <f t="shared" ref="B140:B146" si="18">B125</f>
        <v>Faclitiy 1 - Cleaning &amp; Grading</v>
      </c>
      <c r="C140" s="236">
        <f>'6.Cons Profit &amp; Loss'!B8</f>
        <v>28214486.999999996</v>
      </c>
      <c r="D140" s="236">
        <f>'6.Cons Profit &amp; Loss'!C8</f>
        <v>31184432.999999996</v>
      </c>
      <c r="E140" s="236">
        <f>'6.Cons Profit &amp; Loss'!D8</f>
        <v>32743654.649999999</v>
      </c>
      <c r="F140" s="236">
        <f>'6.Cons Profit &amp; Loss'!E8</f>
        <v>34380837.3825</v>
      </c>
      <c r="G140" s="236">
        <f>'6.Cons Profit &amp; Loss'!F8</f>
        <v>36099879.251625001</v>
      </c>
      <c r="H140" s="236">
        <f>'6.Cons Profit &amp; Loss'!G8</f>
        <v>37904873.214206256</v>
      </c>
      <c r="I140" s="236">
        <f>'6.Cons Profit &amp; Loss'!H8</f>
        <v>39800116.874916568</v>
      </c>
    </row>
    <row r="141" spans="2:9" ht="15.75" customHeight="1">
      <c r="B141" s="76" t="str">
        <f t="shared" si="18"/>
        <v>Faclitiy 2 - Processing Unit- Turmeric Processing</v>
      </c>
      <c r="C141" s="236">
        <f>'6.Cons Profit &amp; Loss'!B9</f>
        <v>23328162</v>
      </c>
      <c r="D141" s="236">
        <f>'6.Cons Profit &amp; Loss'!C9</f>
        <v>25783758</v>
      </c>
      <c r="E141" s="236">
        <f>'6.Cons Profit &amp; Loss'!D9</f>
        <v>27072945.899999999</v>
      </c>
      <c r="F141" s="236">
        <f>'6.Cons Profit &amp; Loss'!E9</f>
        <v>28426593.195000004</v>
      </c>
      <c r="G141" s="236">
        <f>'6.Cons Profit &amp; Loss'!F9</f>
        <v>29847922.854750004</v>
      </c>
      <c r="H141" s="236">
        <f>'6.Cons Profit &amp; Loss'!G9</f>
        <v>31340318.997487511</v>
      </c>
      <c r="I141" s="236">
        <f>'6.Cons Profit &amp; Loss'!H9</f>
        <v>32907334.947361887</v>
      </c>
    </row>
    <row r="142" spans="2:9" ht="15.75" customHeight="1">
      <c r="B142" s="76" t="str">
        <f t="shared" si="18"/>
        <v>Faclitiy 3 - Warehouse</v>
      </c>
      <c r="C142" s="236">
        <f>'6.Cons Profit &amp; Loss'!B10</f>
        <v>0</v>
      </c>
      <c r="D142" s="236">
        <f>'6.Cons Profit &amp; Loss'!C10</f>
        <v>0</v>
      </c>
      <c r="E142" s="236">
        <f>'6.Cons Profit &amp; Loss'!D10</f>
        <v>0</v>
      </c>
      <c r="F142" s="236">
        <f>'6.Cons Profit &amp; Loss'!E10</f>
        <v>0</v>
      </c>
      <c r="G142" s="236">
        <f>'6.Cons Profit &amp; Loss'!F10</f>
        <v>0</v>
      </c>
      <c r="H142" s="236">
        <f>'6.Cons Profit &amp; Loss'!G10</f>
        <v>0</v>
      </c>
      <c r="I142" s="236">
        <f>'6.Cons Profit &amp; Loss'!H10</f>
        <v>0</v>
      </c>
    </row>
    <row r="143" spans="2:9" ht="15.75" customHeight="1">
      <c r="B143" s="76" t="str">
        <f t="shared" si="18"/>
        <v xml:space="preserve">Faclitiy 4 - Custom Hiring </v>
      </c>
      <c r="C143" s="236">
        <f>'6.Cons Profit &amp; Loss'!B11</f>
        <v>0</v>
      </c>
      <c r="D143" s="236">
        <f>'6.Cons Profit &amp; Loss'!C11</f>
        <v>0</v>
      </c>
      <c r="E143" s="236">
        <f>'6.Cons Profit &amp; Loss'!D11</f>
        <v>0</v>
      </c>
      <c r="F143" s="236">
        <f>'6.Cons Profit &amp; Loss'!E11</f>
        <v>0</v>
      </c>
      <c r="G143" s="236">
        <f>'6.Cons Profit &amp; Loss'!F11</f>
        <v>0</v>
      </c>
      <c r="H143" s="236">
        <f>'6.Cons Profit &amp; Loss'!G11</f>
        <v>0</v>
      </c>
      <c r="I143" s="236">
        <f>'6.Cons Profit &amp; Loss'!H11</f>
        <v>0</v>
      </c>
    </row>
    <row r="144" spans="2:9" ht="15.75" customHeight="1">
      <c r="B144" s="76" t="str">
        <f t="shared" si="18"/>
        <v>Faclitiy 5 - Agri Input Centre</v>
      </c>
      <c r="C144" s="236">
        <f>'6.Cons Profit &amp; Loss'!B12</f>
        <v>10017393.75</v>
      </c>
      <c r="D144" s="236">
        <f>'6.Cons Profit &amp; Loss'!C12</f>
        <v>11880953.437500002</v>
      </c>
      <c r="E144" s="236">
        <f>'6.Cons Profit &amp; Loss'!D12</f>
        <v>13369266.421875002</v>
      </c>
      <c r="F144" s="236">
        <f>'6.Cons Profit &amp; Loss'!E12</f>
        <v>14976708.321093755</v>
      </c>
      <c r="G144" s="236">
        <f>'6.Cons Profit &amp; Loss'!F12</f>
        <v>16711471.244179696</v>
      </c>
      <c r="H144" s="236">
        <f>'6.Cons Profit &amp; Loss'!G12</f>
        <v>18582268.688771494</v>
      </c>
      <c r="I144" s="236">
        <f>'6.Cons Profit &amp; Loss'!H12</f>
        <v>20598367.199712027</v>
      </c>
    </row>
    <row r="145" spans="2:15" ht="15.75" customHeight="1">
      <c r="B145" s="76" t="str">
        <f t="shared" si="18"/>
        <v>Facility 6 - Processing Unit - Horti Commodity</v>
      </c>
      <c r="C145" s="236">
        <f>'6.Cons Profit &amp; Loss'!B13</f>
        <v>0</v>
      </c>
      <c r="D145" s="236">
        <f>'6.Cons Profit &amp; Loss'!C13</f>
        <v>0</v>
      </c>
      <c r="E145" s="236">
        <f>'6.Cons Profit &amp; Loss'!D13</f>
        <v>0</v>
      </c>
      <c r="F145" s="236">
        <f>'6.Cons Profit &amp; Loss'!E13</f>
        <v>0</v>
      </c>
      <c r="G145" s="236">
        <f>'6.Cons Profit &amp; Loss'!F13</f>
        <v>0</v>
      </c>
      <c r="H145" s="236">
        <f>'6.Cons Profit &amp; Loss'!G13</f>
        <v>0</v>
      </c>
      <c r="I145" s="236">
        <f>'6.Cons Profit &amp; Loss'!H13</f>
        <v>0</v>
      </c>
    </row>
    <row r="146" spans="2:15" ht="15.75" customHeight="1">
      <c r="B146" s="76">
        <f t="shared" si="18"/>
        <v>0</v>
      </c>
      <c r="C146" s="236">
        <f>'6.Cons Profit &amp; Loss'!B14</f>
        <v>0</v>
      </c>
      <c r="D146" s="236">
        <f>'6.Cons Profit &amp; Loss'!C14</f>
        <v>0</v>
      </c>
      <c r="E146" s="236">
        <f>'6.Cons Profit &amp; Loss'!D14</f>
        <v>0</v>
      </c>
      <c r="F146" s="236">
        <f>'6.Cons Profit &amp; Loss'!E14</f>
        <v>0</v>
      </c>
      <c r="G146" s="236">
        <f>'6.Cons Profit &amp; Loss'!F14</f>
        <v>0</v>
      </c>
      <c r="H146" s="236">
        <f>'6.Cons Profit &amp; Loss'!G14</f>
        <v>0</v>
      </c>
      <c r="I146" s="236">
        <f>'6.Cons Profit &amp; Loss'!H14</f>
        <v>0</v>
      </c>
    </row>
    <row r="147" spans="2:15" ht="15.75" customHeight="1">
      <c r="B147" s="76" t="s">
        <v>491</v>
      </c>
      <c r="C147" s="236">
        <f t="shared" ref="C147:I147" si="19">SUM(C140:C146)</f>
        <v>61560042.75</v>
      </c>
      <c r="D147" s="236">
        <f t="shared" si="19"/>
        <v>68849144.4375</v>
      </c>
      <c r="E147" s="236">
        <f t="shared" si="19"/>
        <v>73185866.971874997</v>
      </c>
      <c r="F147" s="236">
        <f t="shared" si="19"/>
        <v>77784138.898593754</v>
      </c>
      <c r="G147" s="236">
        <f t="shared" si="19"/>
        <v>82659273.350554705</v>
      </c>
      <c r="H147" s="236">
        <f t="shared" si="19"/>
        <v>87827460.90046525</v>
      </c>
      <c r="I147" s="236">
        <f t="shared" si="19"/>
        <v>93305819.021990478</v>
      </c>
    </row>
    <row r="148" spans="2:15" ht="15.75" customHeight="1">
      <c r="B148" s="76" t="s">
        <v>492</v>
      </c>
      <c r="C148" s="237"/>
      <c r="D148" s="236"/>
      <c r="E148" s="236"/>
      <c r="F148" s="236"/>
      <c r="G148" s="236"/>
      <c r="H148" s="236"/>
      <c r="I148" s="236"/>
    </row>
    <row r="149" spans="2:15" ht="15.75" customHeight="1">
      <c r="B149" s="76" t="s">
        <v>493</v>
      </c>
      <c r="C149" s="238">
        <f>'6.Cons Profit &amp; Loss'!B36</f>
        <v>1469200</v>
      </c>
      <c r="D149" s="238">
        <f>'6.Cons Profit &amp; Loss'!C36</f>
        <v>1542660</v>
      </c>
      <c r="E149" s="238">
        <f>'6.Cons Profit &amp; Loss'!D36</f>
        <v>1619793</v>
      </c>
      <c r="F149" s="238">
        <f>'6.Cons Profit &amp; Loss'!E36</f>
        <v>1700782.6500000004</v>
      </c>
      <c r="G149" s="238">
        <f>'6.Cons Profit &amp; Loss'!F36</f>
        <v>1785821.7825000004</v>
      </c>
      <c r="H149" s="238">
        <f>'6.Cons Profit &amp; Loss'!G36</f>
        <v>1875112.8716250004</v>
      </c>
      <c r="I149" s="238">
        <f>'6.Cons Profit &amp; Loss'!H36</f>
        <v>1968868.5152062506</v>
      </c>
    </row>
    <row r="150" spans="2:15" ht="15.75" customHeight="1">
      <c r="B150" s="76" t="s">
        <v>355</v>
      </c>
      <c r="C150" s="238">
        <f>'6.Cons Profit &amp; Loss'!B25*(1+$M$127)</f>
        <v>59374631.179458</v>
      </c>
      <c r="D150" s="238">
        <f>'6.Cons Profit &amp; Loss'!C25*(1+$M$127)</f>
        <v>67156706.37773791</v>
      </c>
      <c r="E150" s="238">
        <f>'6.Cons Profit &amp; Loss'!D25*(1+$M$127)</f>
        <v>71432728.792281061</v>
      </c>
      <c r="F150" s="238">
        <f>'6.Cons Profit &amp; Loss'!E25*(1+$M$127)</f>
        <v>75968461.68233417</v>
      </c>
      <c r="G150" s="238">
        <f>'6.Cons Profit &amp; Loss'!F25*(1+$M$127)</f>
        <v>80779186.039411917</v>
      </c>
      <c r="H150" s="238">
        <f>'6.Cons Profit &amp; Loss'!G25*(1+$M$127)</f>
        <v>85881061.677991554</v>
      </c>
      <c r="I150" s="238">
        <f>'6.Cons Profit &amp; Loss'!H25*(1+$M$127)</f>
        <v>91291176.915330663</v>
      </c>
    </row>
    <row r="151" spans="2:15" ht="15.75" customHeight="1">
      <c r="B151" s="76" t="s">
        <v>494</v>
      </c>
      <c r="C151" s="238">
        <f t="shared" ref="C151:I151" si="20">SUM(C149:C150)</f>
        <v>60843831.179458</v>
      </c>
      <c r="D151" s="238">
        <f t="shared" si="20"/>
        <v>68699366.37773791</v>
      </c>
      <c r="E151" s="238">
        <f t="shared" si="20"/>
        <v>73052521.792281061</v>
      </c>
      <c r="F151" s="238">
        <f t="shared" si="20"/>
        <v>77669244.332334176</v>
      </c>
      <c r="G151" s="238">
        <f t="shared" si="20"/>
        <v>82565007.821911916</v>
      </c>
      <c r="H151" s="238">
        <f t="shared" si="20"/>
        <v>87756174.54961656</v>
      </c>
      <c r="I151" s="238">
        <f t="shared" si="20"/>
        <v>93260045.430536911</v>
      </c>
    </row>
    <row r="152" spans="2:15" ht="15.75" customHeight="1">
      <c r="B152" s="79" t="s">
        <v>495</v>
      </c>
      <c r="C152" s="239">
        <f t="shared" ref="C152:I152" si="21">+C147-C151</f>
        <v>716211.57054200023</v>
      </c>
      <c r="D152" s="239">
        <f t="shared" si="21"/>
        <v>149778.05976209044</v>
      </c>
      <c r="E152" s="239">
        <f t="shared" si="21"/>
        <v>133345.17959393561</v>
      </c>
      <c r="F152" s="239">
        <f t="shared" si="21"/>
        <v>114894.56625957787</v>
      </c>
      <c r="G152" s="239">
        <f t="shared" si="21"/>
        <v>94265.528642788529</v>
      </c>
      <c r="H152" s="239">
        <f t="shared" si="21"/>
        <v>71286.350848689675</v>
      </c>
      <c r="I152" s="239">
        <f t="shared" si="21"/>
        <v>45773.591453567147</v>
      </c>
      <c r="N152" s="157"/>
      <c r="O152" s="212"/>
    </row>
    <row r="153" spans="2:15" ht="15.75" customHeight="1">
      <c r="B153" s="71"/>
      <c r="C153" s="235"/>
      <c r="D153" s="235"/>
      <c r="E153" s="235"/>
      <c r="F153" s="235"/>
      <c r="G153" s="235"/>
      <c r="H153" s="235"/>
      <c r="I153" s="235"/>
    </row>
    <row r="154" spans="2:15" ht="15.75" customHeight="1">
      <c r="B154" s="128" t="s">
        <v>497</v>
      </c>
      <c r="C154" s="129" t="s">
        <v>152</v>
      </c>
      <c r="D154" s="129" t="s">
        <v>153</v>
      </c>
      <c r="E154" s="129" t="s">
        <v>154</v>
      </c>
      <c r="F154" s="129" t="s">
        <v>155</v>
      </c>
      <c r="G154" s="129" t="s">
        <v>156</v>
      </c>
      <c r="H154" s="129" t="s">
        <v>157</v>
      </c>
      <c r="I154" s="129" t="s">
        <v>158</v>
      </c>
    </row>
    <row r="155" spans="2:15" ht="15.75" customHeight="1">
      <c r="B155" s="76" t="str">
        <f t="shared" ref="B155:B161" si="22">B140</f>
        <v>Faclitiy 1 - Cleaning &amp; Grading</v>
      </c>
      <c r="C155" s="78">
        <f>'6.Cons Profit &amp; Loss'!B8*(1-$M$126)</f>
        <v>26803762.649999995</v>
      </c>
      <c r="D155" s="78">
        <f>'6.Cons Profit &amp; Loss'!C8*(1-$M$126)</f>
        <v>29625211.349999994</v>
      </c>
      <c r="E155" s="78">
        <f>'6.Cons Profit &amp; Loss'!D8*(1-$M$126)</f>
        <v>31106471.917499997</v>
      </c>
      <c r="F155" s="78">
        <f>'6.Cons Profit &amp; Loss'!E8*(1-$M$126)</f>
        <v>32661795.513374999</v>
      </c>
      <c r="G155" s="78">
        <f>'6.Cons Profit &amp; Loss'!F8*(1-$M$126)</f>
        <v>34294885.289043747</v>
      </c>
      <c r="H155" s="78">
        <f>'6.Cons Profit &amp; Loss'!G8*(1-$M$126)</f>
        <v>36009629.553495944</v>
      </c>
      <c r="I155" s="78">
        <f>'6.Cons Profit &amp; Loss'!H8*(1-$M$126)</f>
        <v>37810111.031170741</v>
      </c>
    </row>
    <row r="156" spans="2:15" ht="15.75" customHeight="1">
      <c r="B156" s="76" t="str">
        <f t="shared" si="22"/>
        <v>Faclitiy 2 - Processing Unit- Turmeric Processing</v>
      </c>
      <c r="C156" s="78">
        <f>'6.Cons Profit &amp; Loss'!B9*(1-$M$126)</f>
        <v>22161753.899999999</v>
      </c>
      <c r="D156" s="78">
        <f>'6.Cons Profit &amp; Loss'!C9*(1-$M$126)</f>
        <v>24494570.099999998</v>
      </c>
      <c r="E156" s="78">
        <f>'6.Cons Profit &amp; Loss'!D9*(1-$M$126)</f>
        <v>25719298.604999997</v>
      </c>
      <c r="F156" s="78">
        <f>'6.Cons Profit &amp; Loss'!E9*(1-$M$126)</f>
        <v>27005263.535250004</v>
      </c>
      <c r="G156" s="78">
        <f>'6.Cons Profit &amp; Loss'!F9*(1-$M$126)</f>
        <v>28355526.712012503</v>
      </c>
      <c r="H156" s="78">
        <f>'6.Cons Profit &amp; Loss'!G9*(1-$M$126)</f>
        <v>29773303.047613133</v>
      </c>
      <c r="I156" s="78">
        <f>'6.Cons Profit &amp; Loss'!H9*(1-$M$126)</f>
        <v>31261968.199993789</v>
      </c>
    </row>
    <row r="157" spans="2:15" ht="15.75" customHeight="1">
      <c r="B157" s="76" t="str">
        <f t="shared" si="22"/>
        <v>Faclitiy 3 - Warehouse</v>
      </c>
      <c r="C157" s="78">
        <f>'6.Cons Profit &amp; Loss'!B10*(1-$M$126)</f>
        <v>0</v>
      </c>
      <c r="D157" s="78">
        <f>'6.Cons Profit &amp; Loss'!C10*(1-$M$126)</f>
        <v>0</v>
      </c>
      <c r="E157" s="78">
        <f>'6.Cons Profit &amp; Loss'!D10*(1-$M$126)</f>
        <v>0</v>
      </c>
      <c r="F157" s="78">
        <f>'6.Cons Profit &amp; Loss'!E10*(1-$M$126)</f>
        <v>0</v>
      </c>
      <c r="G157" s="78">
        <f>'6.Cons Profit &amp; Loss'!F10*(1-$M$126)</f>
        <v>0</v>
      </c>
      <c r="H157" s="78">
        <f>'6.Cons Profit &amp; Loss'!G10*(1-$M$126)</f>
        <v>0</v>
      </c>
      <c r="I157" s="78">
        <f>'6.Cons Profit &amp; Loss'!H10*(1-$M$126)</f>
        <v>0</v>
      </c>
    </row>
    <row r="158" spans="2:15" ht="15.75" customHeight="1">
      <c r="B158" s="76" t="str">
        <f t="shared" si="22"/>
        <v xml:space="preserve">Faclitiy 4 - Custom Hiring </v>
      </c>
      <c r="C158" s="78">
        <f>'6.Cons Profit &amp; Loss'!B11*(1-$M$126)</f>
        <v>0</v>
      </c>
      <c r="D158" s="78">
        <f>'6.Cons Profit &amp; Loss'!C11*(1-$M$126)</f>
        <v>0</v>
      </c>
      <c r="E158" s="78">
        <f>'6.Cons Profit &amp; Loss'!D11*(1-$M$126)</f>
        <v>0</v>
      </c>
      <c r="F158" s="78">
        <f>'6.Cons Profit &amp; Loss'!E11*(1-$M$126)</f>
        <v>0</v>
      </c>
      <c r="G158" s="78">
        <f>'6.Cons Profit &amp; Loss'!F11*(1-$M$126)</f>
        <v>0</v>
      </c>
      <c r="H158" s="78">
        <f>'6.Cons Profit &amp; Loss'!G11*(1-$M$126)</f>
        <v>0</v>
      </c>
      <c r="I158" s="78">
        <f>'6.Cons Profit &amp; Loss'!H11*(1-$M$126)</f>
        <v>0</v>
      </c>
    </row>
    <row r="159" spans="2:15" ht="15.75" customHeight="1">
      <c r="B159" s="76" t="str">
        <f t="shared" si="22"/>
        <v>Faclitiy 5 - Agri Input Centre</v>
      </c>
      <c r="C159" s="78">
        <f>'6.Cons Profit &amp; Loss'!B12*(1-$M$126)</f>
        <v>9516524.0625</v>
      </c>
      <c r="D159" s="78">
        <f>'6.Cons Profit &amp; Loss'!C12*(1-$M$126)</f>
        <v>11286905.765625002</v>
      </c>
      <c r="E159" s="78">
        <f>'6.Cons Profit &amp; Loss'!D12*(1-$M$126)</f>
        <v>12700803.100781251</v>
      </c>
      <c r="F159" s="78">
        <f>'6.Cons Profit &amp; Loss'!E12*(1-$M$126)</f>
        <v>14227872.905039066</v>
      </c>
      <c r="G159" s="78">
        <f>'6.Cons Profit &amp; Loss'!F12*(1-$M$126)</f>
        <v>15875897.68197071</v>
      </c>
      <c r="H159" s="78">
        <f>'6.Cons Profit &amp; Loss'!G12*(1-$M$126)</f>
        <v>17653155.254332919</v>
      </c>
      <c r="I159" s="78">
        <f>'6.Cons Profit &amp; Loss'!H12*(1-$M$126)</f>
        <v>19568448.839726426</v>
      </c>
    </row>
    <row r="160" spans="2:15" ht="15.75" customHeight="1">
      <c r="B160" s="76" t="str">
        <f t="shared" si="22"/>
        <v>Facility 6 - Processing Unit - Horti Commodity</v>
      </c>
      <c r="C160" s="78">
        <f>'6.Cons Profit &amp; Loss'!B13*(1-$M$126)</f>
        <v>0</v>
      </c>
      <c r="D160" s="78">
        <f>'6.Cons Profit &amp; Loss'!C13*(1-$M$126)</f>
        <v>0</v>
      </c>
      <c r="E160" s="78">
        <f>'6.Cons Profit &amp; Loss'!D13*(1-$M$126)</f>
        <v>0</v>
      </c>
      <c r="F160" s="78">
        <f>'6.Cons Profit &amp; Loss'!E13*(1-$M$126)</f>
        <v>0</v>
      </c>
      <c r="G160" s="78">
        <f>'6.Cons Profit &amp; Loss'!F13*(1-$M$126)</f>
        <v>0</v>
      </c>
      <c r="H160" s="78">
        <f>'6.Cons Profit &amp; Loss'!G13*(1-$M$126)</f>
        <v>0</v>
      </c>
      <c r="I160" s="78">
        <f>'6.Cons Profit &amp; Loss'!H13*(1-$M$126)</f>
        <v>0</v>
      </c>
    </row>
    <row r="161" spans="2:9" ht="15.75" customHeight="1">
      <c r="B161" s="76">
        <f t="shared" si="22"/>
        <v>0</v>
      </c>
      <c r="C161" s="78">
        <f>'6.Cons Profit &amp; Loss'!B14*(1-$M$126)</f>
        <v>0</v>
      </c>
      <c r="D161" s="78">
        <f>'6.Cons Profit &amp; Loss'!C14*(1-$M$126)</f>
        <v>0</v>
      </c>
      <c r="E161" s="78">
        <f>'6.Cons Profit &amp; Loss'!D14*(1-$M$126)</f>
        <v>0</v>
      </c>
      <c r="F161" s="78">
        <f>'6.Cons Profit &amp; Loss'!E14*(1-$M$126)</f>
        <v>0</v>
      </c>
      <c r="G161" s="78">
        <f>'6.Cons Profit &amp; Loss'!F14*(1-$M$126)</f>
        <v>0</v>
      </c>
      <c r="H161" s="78">
        <f>'6.Cons Profit &amp; Loss'!G14*(1-$M$126)</f>
        <v>0</v>
      </c>
      <c r="I161" s="78">
        <f>'6.Cons Profit &amp; Loss'!H14*(1-$M$126)</f>
        <v>0</v>
      </c>
    </row>
    <row r="162" spans="2:9" ht="15.75" customHeight="1">
      <c r="B162" s="76" t="s">
        <v>491</v>
      </c>
      <c r="C162" s="78">
        <f t="shared" ref="C162:I162" si="23">SUM(C155:C161)</f>
        <v>58482040.612499997</v>
      </c>
      <c r="D162" s="78">
        <f t="shared" si="23"/>
        <v>65406687.215624988</v>
      </c>
      <c r="E162" s="78">
        <f t="shared" si="23"/>
        <v>69526573.62328124</v>
      </c>
      <c r="F162" s="78">
        <f t="shared" si="23"/>
        <v>73894931.953664079</v>
      </c>
      <c r="G162" s="78">
        <f t="shared" si="23"/>
        <v>78526309.683026969</v>
      </c>
      <c r="H162" s="78">
        <f t="shared" si="23"/>
        <v>83436087.855441988</v>
      </c>
      <c r="I162" s="78">
        <f t="shared" si="23"/>
        <v>88640528.070890963</v>
      </c>
    </row>
    <row r="163" spans="2:9" ht="15.75" customHeight="1">
      <c r="B163" s="76" t="s">
        <v>492</v>
      </c>
      <c r="C163" s="78"/>
      <c r="D163" s="78"/>
      <c r="E163" s="78"/>
      <c r="F163" s="78"/>
      <c r="G163" s="78"/>
      <c r="H163" s="78"/>
      <c r="I163" s="78"/>
    </row>
    <row r="164" spans="2:9" ht="15.75" customHeight="1">
      <c r="B164" s="76" t="s">
        <v>493</v>
      </c>
      <c r="C164" s="78">
        <f>'6.Cons Profit &amp; Loss'!B36</f>
        <v>1469200</v>
      </c>
      <c r="D164" s="78">
        <f>'6.Cons Profit &amp; Loss'!C36</f>
        <v>1542660</v>
      </c>
      <c r="E164" s="78">
        <f>'6.Cons Profit &amp; Loss'!D36</f>
        <v>1619793</v>
      </c>
      <c r="F164" s="78">
        <f>'6.Cons Profit &amp; Loss'!E36</f>
        <v>1700782.6500000004</v>
      </c>
      <c r="G164" s="78">
        <f>'6.Cons Profit &amp; Loss'!F36</f>
        <v>1785821.7825000004</v>
      </c>
      <c r="H164" s="78">
        <f>'6.Cons Profit &amp; Loss'!G36</f>
        <v>1875112.8716250004</v>
      </c>
      <c r="I164" s="78">
        <f>'6.Cons Profit &amp; Loss'!H36</f>
        <v>1968868.5152062506</v>
      </c>
    </row>
    <row r="165" spans="2:9" ht="15.75" customHeight="1">
      <c r="B165" s="76" t="s">
        <v>355</v>
      </c>
      <c r="C165" s="78">
        <f>'6.Cons Profit &amp; Loss'!B25*(1-$M$126)</f>
        <v>53719904.400461994</v>
      </c>
      <c r="D165" s="78">
        <f>'6.Cons Profit &amp; Loss'!C25*(1-$M$126)</f>
        <v>60760829.579858102</v>
      </c>
      <c r="E165" s="78">
        <f>'6.Cons Profit &amp; Loss'!D25*(1-$M$126)</f>
        <v>64629611.764444768</v>
      </c>
      <c r="F165" s="78">
        <f>'6.Cons Profit &amp; Loss'!E25*(1-$M$126)</f>
        <v>68733370.093540445</v>
      </c>
      <c r="G165" s="78">
        <f>'6.Cons Profit &amp; Loss'!F25*(1-$M$126)</f>
        <v>73085930.226134583</v>
      </c>
      <c r="H165" s="78">
        <f>'6.Cons Profit &amp; Loss'!G25*(1-$M$126)</f>
        <v>77701912.946754262</v>
      </c>
      <c r="I165" s="78">
        <f>'6.Cons Profit &amp; Loss'!H25*(1-$M$126)</f>
        <v>82596779.113870606</v>
      </c>
    </row>
    <row r="166" spans="2:9" ht="15.75" customHeight="1">
      <c r="B166" s="76" t="s">
        <v>494</v>
      </c>
      <c r="C166" s="78">
        <f t="shared" ref="C166:I166" si="24">SUM(C164:C165)</f>
        <v>55189104.400461994</v>
      </c>
      <c r="D166" s="78">
        <f t="shared" si="24"/>
        <v>62303489.579858102</v>
      </c>
      <c r="E166" s="78">
        <f t="shared" si="24"/>
        <v>66249404.764444768</v>
      </c>
      <c r="F166" s="78">
        <f t="shared" si="24"/>
        <v>70434152.743540451</v>
      </c>
      <c r="G166" s="78">
        <f t="shared" si="24"/>
        <v>74871752.008634582</v>
      </c>
      <c r="H166" s="78">
        <f t="shared" si="24"/>
        <v>79577025.818379268</v>
      </c>
      <c r="I166" s="78">
        <f t="shared" si="24"/>
        <v>84565647.629076853</v>
      </c>
    </row>
    <row r="167" spans="2:9" ht="15.75" customHeight="1">
      <c r="B167" s="79" t="s">
        <v>495</v>
      </c>
      <c r="C167" s="80">
        <f t="shared" ref="C167:I167" si="25">+C162-C166</f>
        <v>3292936.2120380029</v>
      </c>
      <c r="D167" s="80">
        <f t="shared" si="25"/>
        <v>3103197.6357668862</v>
      </c>
      <c r="E167" s="80">
        <f t="shared" si="25"/>
        <v>3277168.858836472</v>
      </c>
      <c r="F167" s="80">
        <f t="shared" si="25"/>
        <v>3460779.2101236284</v>
      </c>
      <c r="G167" s="80">
        <f t="shared" si="25"/>
        <v>3654557.6743923873</v>
      </c>
      <c r="H167" s="80">
        <f t="shared" si="25"/>
        <v>3859062.0370627195</v>
      </c>
      <c r="I167" s="80">
        <f t="shared" si="25"/>
        <v>4074880.4418141097</v>
      </c>
    </row>
    <row r="168" spans="2:9" ht="15.75" customHeight="1">
      <c r="B168" s="82"/>
      <c r="C168" s="235"/>
      <c r="D168" s="235"/>
      <c r="E168" s="235"/>
      <c r="F168" s="235"/>
      <c r="G168" s="235"/>
      <c r="H168" s="235"/>
      <c r="I168" s="235"/>
    </row>
    <row r="169" spans="2:9" ht="15.75" customHeight="1">
      <c r="B169" s="128" t="s">
        <v>498</v>
      </c>
      <c r="C169" s="129" t="s">
        <v>152</v>
      </c>
      <c r="D169" s="129" t="s">
        <v>153</v>
      </c>
      <c r="E169" s="129" t="s">
        <v>154</v>
      </c>
      <c r="F169" s="129" t="s">
        <v>155</v>
      </c>
      <c r="G169" s="129" t="s">
        <v>156</v>
      </c>
      <c r="H169" s="129" t="s">
        <v>157</v>
      </c>
      <c r="I169" s="129" t="s">
        <v>158</v>
      </c>
    </row>
    <row r="170" spans="2:9" ht="15.75" customHeight="1">
      <c r="B170" s="76" t="str">
        <f t="shared" ref="B170:B176" si="26">B155</f>
        <v>Faclitiy 1 - Cleaning &amp; Grading</v>
      </c>
      <c r="C170" s="236">
        <f>'6.Cons Profit &amp; Loss'!B8</f>
        <v>28214486.999999996</v>
      </c>
      <c r="D170" s="236">
        <f>'6.Cons Profit &amp; Loss'!C8</f>
        <v>31184432.999999996</v>
      </c>
      <c r="E170" s="236">
        <f>'6.Cons Profit &amp; Loss'!D8</f>
        <v>32743654.649999999</v>
      </c>
      <c r="F170" s="236">
        <f>'6.Cons Profit &amp; Loss'!E8</f>
        <v>34380837.3825</v>
      </c>
      <c r="G170" s="236">
        <f>'6.Cons Profit &amp; Loss'!F8</f>
        <v>36099879.251625001</v>
      </c>
      <c r="H170" s="236">
        <f>'6.Cons Profit &amp; Loss'!G8</f>
        <v>37904873.214206256</v>
      </c>
      <c r="I170" s="236">
        <f>'6.Cons Profit &amp; Loss'!H8</f>
        <v>39800116.874916568</v>
      </c>
    </row>
    <row r="171" spans="2:9" ht="15.75" customHeight="1">
      <c r="B171" s="76" t="str">
        <f t="shared" si="26"/>
        <v>Faclitiy 2 - Processing Unit- Turmeric Processing</v>
      </c>
      <c r="C171" s="236">
        <f>'6.Cons Profit &amp; Loss'!B9</f>
        <v>23328162</v>
      </c>
      <c r="D171" s="236">
        <f>'6.Cons Profit &amp; Loss'!C9</f>
        <v>25783758</v>
      </c>
      <c r="E171" s="236">
        <f>'6.Cons Profit &amp; Loss'!D9</f>
        <v>27072945.899999999</v>
      </c>
      <c r="F171" s="236">
        <f>'6.Cons Profit &amp; Loss'!E9</f>
        <v>28426593.195000004</v>
      </c>
      <c r="G171" s="236">
        <f>'6.Cons Profit &amp; Loss'!F9</f>
        <v>29847922.854750004</v>
      </c>
      <c r="H171" s="236">
        <f>'6.Cons Profit &amp; Loss'!G9</f>
        <v>31340318.997487511</v>
      </c>
      <c r="I171" s="236">
        <f>'6.Cons Profit &amp; Loss'!H9</f>
        <v>32907334.947361887</v>
      </c>
    </row>
    <row r="172" spans="2:9" ht="15.75" customHeight="1">
      <c r="B172" s="76" t="str">
        <f t="shared" si="26"/>
        <v>Faclitiy 3 - Warehouse</v>
      </c>
      <c r="C172" s="236">
        <f>'6.Cons Profit &amp; Loss'!B10</f>
        <v>0</v>
      </c>
      <c r="D172" s="236">
        <f>'6.Cons Profit &amp; Loss'!C10</f>
        <v>0</v>
      </c>
      <c r="E172" s="236">
        <f>'6.Cons Profit &amp; Loss'!D10</f>
        <v>0</v>
      </c>
      <c r="F172" s="236">
        <f>'6.Cons Profit &amp; Loss'!E10</f>
        <v>0</v>
      </c>
      <c r="G172" s="236">
        <f>'6.Cons Profit &amp; Loss'!F10</f>
        <v>0</v>
      </c>
      <c r="H172" s="236">
        <f>'6.Cons Profit &amp; Loss'!G10</f>
        <v>0</v>
      </c>
      <c r="I172" s="236">
        <f>'6.Cons Profit &amp; Loss'!H10</f>
        <v>0</v>
      </c>
    </row>
    <row r="173" spans="2:9" ht="15.75" customHeight="1">
      <c r="B173" s="76" t="str">
        <f t="shared" si="26"/>
        <v xml:space="preserve">Faclitiy 4 - Custom Hiring </v>
      </c>
      <c r="C173" s="236">
        <f>'6.Cons Profit &amp; Loss'!B11</f>
        <v>0</v>
      </c>
      <c r="D173" s="236">
        <f>'6.Cons Profit &amp; Loss'!C11</f>
        <v>0</v>
      </c>
      <c r="E173" s="236">
        <f>'6.Cons Profit &amp; Loss'!D11</f>
        <v>0</v>
      </c>
      <c r="F173" s="236">
        <f>'6.Cons Profit &amp; Loss'!E11</f>
        <v>0</v>
      </c>
      <c r="G173" s="236">
        <f>'6.Cons Profit &amp; Loss'!F11</f>
        <v>0</v>
      </c>
      <c r="H173" s="236">
        <f>'6.Cons Profit &amp; Loss'!G11</f>
        <v>0</v>
      </c>
      <c r="I173" s="236">
        <f>'6.Cons Profit &amp; Loss'!H11</f>
        <v>0</v>
      </c>
    </row>
    <row r="174" spans="2:9" ht="15.75" customHeight="1">
      <c r="B174" s="76" t="str">
        <f t="shared" si="26"/>
        <v>Faclitiy 5 - Agri Input Centre</v>
      </c>
      <c r="C174" s="236">
        <f>'6.Cons Profit &amp; Loss'!B12</f>
        <v>10017393.75</v>
      </c>
      <c r="D174" s="236">
        <f>'6.Cons Profit &amp; Loss'!C12</f>
        <v>11880953.437500002</v>
      </c>
      <c r="E174" s="236">
        <f>'6.Cons Profit &amp; Loss'!D12</f>
        <v>13369266.421875002</v>
      </c>
      <c r="F174" s="236">
        <f>'6.Cons Profit &amp; Loss'!E12</f>
        <v>14976708.321093755</v>
      </c>
      <c r="G174" s="236">
        <f>'6.Cons Profit &amp; Loss'!F12</f>
        <v>16711471.244179696</v>
      </c>
      <c r="H174" s="236">
        <f>'6.Cons Profit &amp; Loss'!G12</f>
        <v>18582268.688771494</v>
      </c>
      <c r="I174" s="236">
        <f>'6.Cons Profit &amp; Loss'!H12</f>
        <v>20598367.199712027</v>
      </c>
    </row>
    <row r="175" spans="2:9" ht="15.75" customHeight="1">
      <c r="B175" s="76" t="str">
        <f t="shared" si="26"/>
        <v>Facility 6 - Processing Unit - Horti Commodity</v>
      </c>
      <c r="C175" s="236">
        <f>'6.Cons Profit &amp; Loss'!B13</f>
        <v>0</v>
      </c>
      <c r="D175" s="236">
        <f>'6.Cons Profit &amp; Loss'!C13</f>
        <v>0</v>
      </c>
      <c r="E175" s="236">
        <f>'6.Cons Profit &amp; Loss'!D13</f>
        <v>0</v>
      </c>
      <c r="F175" s="236">
        <f>'6.Cons Profit &amp; Loss'!E13</f>
        <v>0</v>
      </c>
      <c r="G175" s="236">
        <f>'6.Cons Profit &amp; Loss'!F13</f>
        <v>0</v>
      </c>
      <c r="H175" s="236">
        <f>'6.Cons Profit &amp; Loss'!G13</f>
        <v>0</v>
      </c>
      <c r="I175" s="236">
        <f>'6.Cons Profit &amp; Loss'!H13</f>
        <v>0</v>
      </c>
    </row>
    <row r="176" spans="2:9" ht="15.75" customHeight="1">
      <c r="B176" s="76">
        <f t="shared" si="26"/>
        <v>0</v>
      </c>
      <c r="C176" s="236">
        <f>'6.Cons Profit &amp; Loss'!B14</f>
        <v>0</v>
      </c>
      <c r="D176" s="236">
        <f>'6.Cons Profit &amp; Loss'!C14</f>
        <v>0</v>
      </c>
      <c r="E176" s="236">
        <f>'6.Cons Profit &amp; Loss'!D14</f>
        <v>0</v>
      </c>
      <c r="F176" s="236">
        <f>'6.Cons Profit &amp; Loss'!E14</f>
        <v>0</v>
      </c>
      <c r="G176" s="236">
        <f>'6.Cons Profit &amp; Loss'!F14</f>
        <v>0</v>
      </c>
      <c r="H176" s="236">
        <f>'6.Cons Profit &amp; Loss'!G14</f>
        <v>0</v>
      </c>
      <c r="I176" s="236">
        <f>'6.Cons Profit &amp; Loss'!H14</f>
        <v>0</v>
      </c>
    </row>
    <row r="177" spans="2:13" ht="15.75" customHeight="1">
      <c r="B177" s="76" t="s">
        <v>491</v>
      </c>
      <c r="C177" s="236">
        <f t="shared" ref="C177:I177" si="27">SUM(C170:C176)</f>
        <v>61560042.75</v>
      </c>
      <c r="D177" s="236">
        <f t="shared" si="27"/>
        <v>68849144.4375</v>
      </c>
      <c r="E177" s="236">
        <f t="shared" si="27"/>
        <v>73185866.971874997</v>
      </c>
      <c r="F177" s="236">
        <f t="shared" si="27"/>
        <v>77784138.898593754</v>
      </c>
      <c r="G177" s="236">
        <f t="shared" si="27"/>
        <v>82659273.350554705</v>
      </c>
      <c r="H177" s="236">
        <f t="shared" si="27"/>
        <v>87827460.90046525</v>
      </c>
      <c r="I177" s="236">
        <f t="shared" si="27"/>
        <v>93305819.021990478</v>
      </c>
    </row>
    <row r="178" spans="2:13" ht="15.75" customHeight="1">
      <c r="B178" s="76" t="s">
        <v>492</v>
      </c>
      <c r="C178" s="236"/>
      <c r="D178" s="236"/>
      <c r="E178" s="236"/>
      <c r="F178" s="236"/>
      <c r="G178" s="236"/>
      <c r="H178" s="236"/>
      <c r="I178" s="236"/>
    </row>
    <row r="179" spans="2:13" ht="15.75" customHeight="1">
      <c r="B179" s="76" t="s">
        <v>493</v>
      </c>
      <c r="C179" s="236">
        <f>'6.Cons Profit &amp; Loss'!B36</f>
        <v>1469200</v>
      </c>
      <c r="D179" s="236">
        <f>'6.Cons Profit &amp; Loss'!C36</f>
        <v>1542660</v>
      </c>
      <c r="E179" s="236">
        <f>'6.Cons Profit &amp; Loss'!D36</f>
        <v>1619793</v>
      </c>
      <c r="F179" s="236">
        <f>'6.Cons Profit &amp; Loss'!E36</f>
        <v>1700782.6500000004</v>
      </c>
      <c r="G179" s="236">
        <f>'6.Cons Profit &amp; Loss'!F36</f>
        <v>1785821.7825000004</v>
      </c>
      <c r="H179" s="236">
        <f>'6.Cons Profit &amp; Loss'!G36</f>
        <v>1875112.8716250004</v>
      </c>
      <c r="I179" s="236">
        <f>'6.Cons Profit &amp; Loss'!H36</f>
        <v>1968868.5152062506</v>
      </c>
    </row>
    <row r="180" spans="2:13" ht="15.75" customHeight="1">
      <c r="B180" s="76" t="s">
        <v>355</v>
      </c>
      <c r="C180" s="236">
        <f>'6.Cons Profit &amp; Loss'!B25*(1-$M$127)</f>
        <v>53719904.400461994</v>
      </c>
      <c r="D180" s="236">
        <f>'6.Cons Profit &amp; Loss'!C25*(1-$M$127)</f>
        <v>60760829.579858102</v>
      </c>
      <c r="E180" s="236">
        <f>'6.Cons Profit &amp; Loss'!D25*(1-$M$127)</f>
        <v>64629611.764444768</v>
      </c>
      <c r="F180" s="236">
        <f>'6.Cons Profit &amp; Loss'!E25*(1-$M$127)</f>
        <v>68733370.093540445</v>
      </c>
      <c r="G180" s="236">
        <f>'6.Cons Profit &amp; Loss'!F25*(1-$M$127)</f>
        <v>73085930.226134583</v>
      </c>
      <c r="H180" s="236">
        <f>'6.Cons Profit &amp; Loss'!G25*(1-$M$127)</f>
        <v>77701912.946754262</v>
      </c>
      <c r="I180" s="236">
        <f>'6.Cons Profit &amp; Loss'!H25*(1-$M$127)</f>
        <v>82596779.113870606</v>
      </c>
    </row>
    <row r="181" spans="2:13" ht="15.75" customHeight="1">
      <c r="B181" s="76" t="s">
        <v>494</v>
      </c>
      <c r="C181" s="236">
        <f t="shared" ref="C181:I181" si="28">SUM(C179:C180)</f>
        <v>55189104.400461994</v>
      </c>
      <c r="D181" s="236">
        <f t="shared" si="28"/>
        <v>62303489.579858102</v>
      </c>
      <c r="E181" s="236">
        <f t="shared" si="28"/>
        <v>66249404.764444768</v>
      </c>
      <c r="F181" s="236">
        <f t="shared" si="28"/>
        <v>70434152.743540451</v>
      </c>
      <c r="G181" s="236">
        <f t="shared" si="28"/>
        <v>74871752.008634582</v>
      </c>
      <c r="H181" s="236">
        <f t="shared" si="28"/>
        <v>79577025.818379268</v>
      </c>
      <c r="I181" s="236">
        <f t="shared" si="28"/>
        <v>84565647.629076853</v>
      </c>
    </row>
    <row r="182" spans="2:13" ht="15.75" customHeight="1">
      <c r="B182" s="79" t="s">
        <v>495</v>
      </c>
      <c r="C182" s="240">
        <f t="shared" ref="C182:I182" si="29">+C177-C181</f>
        <v>6370938.3495380059</v>
      </c>
      <c r="D182" s="240">
        <f t="shared" si="29"/>
        <v>6545654.8576418981</v>
      </c>
      <c r="E182" s="240">
        <f t="shared" si="29"/>
        <v>6936462.2074302286</v>
      </c>
      <c r="F182" s="240">
        <f t="shared" si="29"/>
        <v>7349986.1550533026</v>
      </c>
      <c r="G182" s="240">
        <f t="shared" si="29"/>
        <v>7787521.3419201225</v>
      </c>
      <c r="H182" s="240">
        <f t="shared" si="29"/>
        <v>8250435.082085982</v>
      </c>
      <c r="I182" s="240">
        <f t="shared" si="29"/>
        <v>8740171.3929136246</v>
      </c>
    </row>
    <row r="183" spans="2:13" ht="15.75" customHeight="1"/>
    <row r="184" spans="2:13" ht="40.5" customHeight="1">
      <c r="B184" s="389" t="s">
        <v>499</v>
      </c>
      <c r="C184" s="335"/>
      <c r="D184" s="335"/>
      <c r="E184" s="335"/>
      <c r="F184" s="335"/>
      <c r="G184" s="335"/>
      <c r="H184" s="335"/>
      <c r="I184" s="335"/>
      <c r="J184" s="241"/>
      <c r="K184" s="241"/>
      <c r="L184" s="241"/>
      <c r="M184" s="241"/>
    </row>
  </sheetData>
  <mergeCells count="20">
    <mergeCell ref="C82:I82"/>
    <mergeCell ref="C83:I83"/>
    <mergeCell ref="B88:I88"/>
    <mergeCell ref="B90:J90"/>
    <mergeCell ref="B5:J5"/>
    <mergeCell ref="B184:I184"/>
    <mergeCell ref="K123:R123"/>
    <mergeCell ref="D20:J20"/>
    <mergeCell ref="B103:J103"/>
    <mergeCell ref="B105:I105"/>
    <mergeCell ref="C85:I85"/>
    <mergeCell ref="D22:J22"/>
    <mergeCell ref="B26:I26"/>
    <mergeCell ref="B24:J24"/>
    <mergeCell ref="B54:I54"/>
    <mergeCell ref="B51:J51"/>
    <mergeCell ref="B123:I123"/>
    <mergeCell ref="B121:J121"/>
    <mergeCell ref="B75:J75"/>
    <mergeCell ref="B76:I76"/>
  </mergeCells>
  <hyperlinks>
    <hyperlink ref="B24" r:id="rId1"/>
  </hyperlinks>
  <pageMargins left="0.7" right="0.7" top="0.75" bottom="0.75" header="0" footer="0"/>
  <pageSetup scale="57"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0"/>
  <sheetViews>
    <sheetView topLeftCell="A110" workbookViewId="0">
      <selection sqref="A1:I120"/>
    </sheetView>
  </sheetViews>
  <sheetFormatPr defaultColWidth="14.44140625" defaultRowHeight="15" customHeight="1"/>
  <cols>
    <col min="1" max="1" width="49.109375" customWidth="1"/>
    <col min="2" max="2" width="23.33203125" customWidth="1"/>
    <col min="3" max="3" width="11.5546875" customWidth="1"/>
    <col min="4" max="4" width="18.88671875" customWidth="1"/>
    <col min="5" max="5" width="15.109375" customWidth="1"/>
    <col min="6" max="7" width="15.88671875" customWidth="1"/>
    <col min="8" max="8" width="21.33203125" customWidth="1"/>
    <col min="9" max="9" width="11.44140625" customWidth="1"/>
    <col min="10" max="10" width="9.109375" customWidth="1"/>
    <col min="11" max="26" width="8.6640625" customWidth="1"/>
  </cols>
  <sheetData>
    <row r="1" spans="1:26" ht="17.399999999999999">
      <c r="A1" s="351" t="s">
        <v>500</v>
      </c>
      <c r="B1" s="335"/>
      <c r="C1" s="335"/>
      <c r="D1" s="335"/>
      <c r="E1" s="335"/>
      <c r="F1" s="335"/>
      <c r="G1" s="335"/>
      <c r="H1" s="335"/>
    </row>
    <row r="2" spans="1:26" ht="14.4">
      <c r="B2" s="157"/>
    </row>
    <row r="3" spans="1:26" ht="17.399999999999999">
      <c r="A3" s="404" t="s">
        <v>501</v>
      </c>
      <c r="B3" s="337"/>
    </row>
    <row r="4" spans="1:26" ht="14.4">
      <c r="A4" s="242" t="s">
        <v>149</v>
      </c>
      <c r="B4" s="243" t="s">
        <v>160</v>
      </c>
      <c r="C4" s="244"/>
      <c r="D4" s="244"/>
      <c r="E4" s="244"/>
      <c r="F4" s="244"/>
      <c r="G4" s="244"/>
      <c r="H4" s="244"/>
    </row>
    <row r="5" spans="1:26" ht="14.4">
      <c r="A5" s="138" t="s">
        <v>502</v>
      </c>
      <c r="B5" s="245">
        <v>300</v>
      </c>
      <c r="C5" s="82"/>
      <c r="D5" s="246"/>
      <c r="E5" s="246"/>
      <c r="F5" s="246"/>
      <c r="G5" s="246"/>
      <c r="H5" s="246"/>
    </row>
    <row r="6" spans="1:26" ht="14.4">
      <c r="A6" s="138" t="s">
        <v>503</v>
      </c>
      <c r="B6" s="245">
        <v>0</v>
      </c>
      <c r="C6" s="82"/>
      <c r="D6" s="246"/>
      <c r="E6" s="246"/>
      <c r="F6" s="246"/>
      <c r="G6" s="246"/>
      <c r="H6" s="246"/>
    </row>
    <row r="7" spans="1:26" ht="14.4">
      <c r="A7" s="247" t="s">
        <v>88</v>
      </c>
      <c r="B7" s="247">
        <f>B5+B6</f>
        <v>300</v>
      </c>
      <c r="C7" s="162"/>
      <c r="D7" s="248"/>
      <c r="E7" s="248"/>
      <c r="F7" s="248"/>
      <c r="G7" s="248"/>
      <c r="H7" s="248"/>
    </row>
    <row r="8" spans="1:26" ht="14.4">
      <c r="A8" s="247" t="s">
        <v>504</v>
      </c>
      <c r="B8" s="249">
        <v>1</v>
      </c>
      <c r="C8" s="162"/>
      <c r="D8" s="162"/>
      <c r="E8" s="162"/>
      <c r="F8" s="162"/>
      <c r="G8" s="162"/>
      <c r="H8" s="162"/>
    </row>
    <row r="9" spans="1:26" ht="14.4">
      <c r="A9" s="247" t="s">
        <v>505</v>
      </c>
      <c r="B9" s="247">
        <f>B7*B8</f>
        <v>300</v>
      </c>
      <c r="C9" s="248"/>
      <c r="D9" s="248"/>
      <c r="E9" s="248"/>
      <c r="F9" s="248"/>
      <c r="G9" s="248"/>
      <c r="H9" s="248"/>
    </row>
    <row r="10" spans="1:26" ht="14.4">
      <c r="J10" t="s">
        <v>506</v>
      </c>
      <c r="O10" t="s">
        <v>322</v>
      </c>
      <c r="U10" t="s">
        <v>16</v>
      </c>
      <c r="Y10" t="s">
        <v>507</v>
      </c>
      <c r="Z10" t="s">
        <v>508</v>
      </c>
    </row>
    <row r="11" spans="1:26" ht="17.399999999999999">
      <c r="A11" s="351" t="s">
        <v>509</v>
      </c>
      <c r="B11" s="335"/>
      <c r="C11" s="335"/>
      <c r="D11" s="335"/>
      <c r="E11" s="335"/>
      <c r="F11" s="335"/>
      <c r="G11" s="335"/>
      <c r="H11" s="335"/>
      <c r="I11" s="162"/>
      <c r="J11" s="162"/>
      <c r="K11" s="162"/>
      <c r="L11" s="162"/>
      <c r="M11" s="162"/>
      <c r="N11" s="162"/>
      <c r="O11" s="162"/>
      <c r="P11" s="162"/>
    </row>
    <row r="12" spans="1:26" ht="14.4">
      <c r="J12" s="157">
        <v>0.65</v>
      </c>
      <c r="K12" s="250">
        <f t="shared" ref="K12:N12" si="0">J12+0.05</f>
        <v>0.70000000000000007</v>
      </c>
      <c r="L12" s="250">
        <f t="shared" si="0"/>
        <v>0.75000000000000011</v>
      </c>
      <c r="M12" s="250">
        <f t="shared" si="0"/>
        <v>0.80000000000000016</v>
      </c>
      <c r="N12" s="250">
        <f t="shared" si="0"/>
        <v>0.8500000000000002</v>
      </c>
      <c r="O12" s="157">
        <v>0.4</v>
      </c>
      <c r="P12" s="157">
        <f t="shared" ref="P12:T12" si="1">O12+0.05</f>
        <v>0.45</v>
      </c>
      <c r="Q12" s="157">
        <f t="shared" si="1"/>
        <v>0.5</v>
      </c>
      <c r="R12" s="157">
        <f t="shared" si="1"/>
        <v>0.55000000000000004</v>
      </c>
      <c r="S12" s="157">
        <f t="shared" si="1"/>
        <v>0.60000000000000009</v>
      </c>
      <c r="T12" s="157">
        <f t="shared" si="1"/>
        <v>0.65000000000000013</v>
      </c>
      <c r="U12" s="157">
        <v>0.1</v>
      </c>
      <c r="V12" s="212">
        <f t="shared" ref="V12:X12" si="2">U12+0.05</f>
        <v>0.15000000000000002</v>
      </c>
      <c r="W12" s="212">
        <f t="shared" si="2"/>
        <v>0.2</v>
      </c>
      <c r="X12" s="212">
        <f t="shared" si="2"/>
        <v>0.25</v>
      </c>
    </row>
    <row r="13" spans="1:26" ht="28.8">
      <c r="A13" s="242" t="s">
        <v>510</v>
      </c>
      <c r="B13" s="242" t="s">
        <v>511</v>
      </c>
      <c r="C13" s="251" t="s">
        <v>512</v>
      </c>
      <c r="D13" s="251" t="s">
        <v>513</v>
      </c>
      <c r="E13" s="251" t="s">
        <v>514</v>
      </c>
      <c r="F13" s="251" t="s">
        <v>515</v>
      </c>
      <c r="G13" s="251" t="s">
        <v>516</v>
      </c>
      <c r="H13" s="251" t="s">
        <v>517</v>
      </c>
      <c r="O13" s="252" t="s">
        <v>152</v>
      </c>
      <c r="P13" s="252" t="s">
        <v>153</v>
      </c>
      <c r="Q13" s="252" t="s">
        <v>154</v>
      </c>
      <c r="R13" s="252" t="s">
        <v>155</v>
      </c>
      <c r="S13" s="252" t="s">
        <v>156</v>
      </c>
      <c r="T13" s="252" t="s">
        <v>152</v>
      </c>
      <c r="U13" s="252" t="s">
        <v>153</v>
      </c>
      <c r="V13" s="252" t="s">
        <v>154</v>
      </c>
      <c r="W13" s="252" t="s">
        <v>155</v>
      </c>
      <c r="X13" s="252" t="s">
        <v>156</v>
      </c>
    </row>
    <row r="14" spans="1:26" ht="14.4">
      <c r="A14" s="406" t="s">
        <v>518</v>
      </c>
      <c r="B14" s="245" t="s">
        <v>519</v>
      </c>
      <c r="C14" s="253">
        <v>0</v>
      </c>
      <c r="D14" s="138">
        <f t="shared" ref="D14:D22" si="3">$B$9*C14</f>
        <v>0</v>
      </c>
      <c r="E14" s="254">
        <v>15</v>
      </c>
      <c r="F14" s="138">
        <f t="shared" ref="F14:F22" si="4">D14*E14</f>
        <v>0</v>
      </c>
      <c r="G14" s="255">
        <v>0.1</v>
      </c>
      <c r="H14" s="138">
        <f t="shared" ref="H14:H22" si="5">(F14-F14*G14)</f>
        <v>0</v>
      </c>
      <c r="J14">
        <f t="shared" ref="J14:N14" si="6">$D$14*J12</f>
        <v>0</v>
      </c>
      <c r="K14">
        <f t="shared" si="6"/>
        <v>0</v>
      </c>
      <c r="L14">
        <f t="shared" si="6"/>
        <v>0</v>
      </c>
      <c r="M14">
        <f t="shared" si="6"/>
        <v>0</v>
      </c>
      <c r="N14">
        <f t="shared" si="6"/>
        <v>0</v>
      </c>
    </row>
    <row r="15" spans="1:26" ht="14.4">
      <c r="A15" s="344"/>
      <c r="B15" s="245" t="s">
        <v>520</v>
      </c>
      <c r="C15" s="253">
        <v>0</v>
      </c>
      <c r="D15" s="138">
        <f t="shared" si="3"/>
        <v>0</v>
      </c>
      <c r="E15" s="254">
        <v>7</v>
      </c>
      <c r="F15" s="138">
        <f t="shared" si="4"/>
        <v>0</v>
      </c>
      <c r="G15" s="255">
        <v>0.05</v>
      </c>
      <c r="H15" s="138">
        <f t="shared" si="5"/>
        <v>0</v>
      </c>
    </row>
    <row r="16" spans="1:26" ht="14.4">
      <c r="A16" s="344"/>
      <c r="B16" s="316" t="s">
        <v>761</v>
      </c>
      <c r="C16" s="253">
        <v>1</v>
      </c>
      <c r="D16" s="138">
        <f t="shared" si="3"/>
        <v>300</v>
      </c>
      <c r="E16" s="254">
        <v>20</v>
      </c>
      <c r="F16" s="138">
        <f t="shared" si="4"/>
        <v>6000</v>
      </c>
      <c r="G16" s="255">
        <v>0.1</v>
      </c>
      <c r="H16" s="138">
        <f t="shared" si="5"/>
        <v>5400</v>
      </c>
    </row>
    <row r="17" spans="1:8" ht="14.4">
      <c r="A17" s="344"/>
      <c r="B17" s="245" t="s">
        <v>521</v>
      </c>
      <c r="C17" s="253">
        <v>0</v>
      </c>
      <c r="D17" s="138">
        <f t="shared" si="3"/>
        <v>0</v>
      </c>
      <c r="E17" s="254">
        <v>7</v>
      </c>
      <c r="F17" s="138">
        <f t="shared" si="4"/>
        <v>0</v>
      </c>
      <c r="G17" s="255">
        <v>0.02</v>
      </c>
      <c r="H17" s="138">
        <f t="shared" si="5"/>
        <v>0</v>
      </c>
    </row>
    <row r="18" spans="1:8" ht="14.4">
      <c r="A18" s="344"/>
      <c r="B18" s="245" t="s">
        <v>522</v>
      </c>
      <c r="C18" s="253">
        <v>0</v>
      </c>
      <c r="D18" s="138">
        <f t="shared" si="3"/>
        <v>0</v>
      </c>
      <c r="E18" s="254">
        <v>20</v>
      </c>
      <c r="F18" s="138">
        <f t="shared" si="4"/>
        <v>0</v>
      </c>
      <c r="G18" s="255">
        <v>0</v>
      </c>
      <c r="H18" s="138">
        <f t="shared" si="5"/>
        <v>0</v>
      </c>
    </row>
    <row r="19" spans="1:8" ht="14.4">
      <c r="A19" s="344"/>
      <c r="B19" s="245" t="s">
        <v>523</v>
      </c>
      <c r="C19" s="253">
        <v>0</v>
      </c>
      <c r="D19" s="138">
        <f t="shared" si="3"/>
        <v>0</v>
      </c>
      <c r="E19" s="254">
        <v>7</v>
      </c>
      <c r="F19" s="138">
        <f t="shared" si="4"/>
        <v>0</v>
      </c>
      <c r="G19" s="255">
        <v>0.1</v>
      </c>
      <c r="H19" s="138">
        <f t="shared" si="5"/>
        <v>0</v>
      </c>
    </row>
    <row r="20" spans="1:8" ht="14.4">
      <c r="A20" s="344"/>
      <c r="B20" s="245" t="s">
        <v>524</v>
      </c>
      <c r="C20" s="253">
        <v>0</v>
      </c>
      <c r="D20" s="138">
        <f t="shared" si="3"/>
        <v>0</v>
      </c>
      <c r="E20" s="254">
        <v>6</v>
      </c>
      <c r="F20" s="138">
        <f t="shared" si="4"/>
        <v>0</v>
      </c>
      <c r="G20" s="255">
        <v>0.02</v>
      </c>
      <c r="H20" s="138">
        <f t="shared" si="5"/>
        <v>0</v>
      </c>
    </row>
    <row r="21" spans="1:8" ht="15.75" customHeight="1">
      <c r="A21" s="344"/>
      <c r="B21" s="245" t="s">
        <v>525</v>
      </c>
      <c r="C21" s="253">
        <v>0</v>
      </c>
      <c r="D21" s="138">
        <f t="shared" si="3"/>
        <v>0</v>
      </c>
      <c r="E21" s="254"/>
      <c r="F21" s="138">
        <f t="shared" si="4"/>
        <v>0</v>
      </c>
      <c r="G21" s="255">
        <v>0</v>
      </c>
      <c r="H21" s="138">
        <f t="shared" si="5"/>
        <v>0</v>
      </c>
    </row>
    <row r="22" spans="1:8" ht="15.75" customHeight="1">
      <c r="A22" s="345"/>
      <c r="B22" s="245" t="s">
        <v>526</v>
      </c>
      <c r="C22" s="253">
        <v>0</v>
      </c>
      <c r="D22" s="138">
        <f t="shared" si="3"/>
        <v>0</v>
      </c>
      <c r="E22" s="254"/>
      <c r="F22" s="138">
        <f t="shared" si="4"/>
        <v>0</v>
      </c>
      <c r="G22" s="255">
        <v>0</v>
      </c>
      <c r="H22" s="138">
        <f t="shared" si="5"/>
        <v>0</v>
      </c>
    </row>
    <row r="23" spans="1:8" ht="15.75" customHeight="1">
      <c r="A23" s="256" t="s">
        <v>527</v>
      </c>
      <c r="B23" s="253">
        <v>0.3</v>
      </c>
      <c r="C23" s="138">
        <f>B9*B23</f>
        <v>90</v>
      </c>
      <c r="D23" s="138"/>
      <c r="E23" s="254"/>
      <c r="F23" s="138"/>
      <c r="G23" s="255"/>
      <c r="H23" s="138"/>
    </row>
    <row r="24" spans="1:8" ht="15.75" customHeight="1">
      <c r="A24" s="406" t="s">
        <v>528</v>
      </c>
      <c r="B24" s="245" t="s">
        <v>529</v>
      </c>
      <c r="C24" s="253">
        <v>0</v>
      </c>
      <c r="D24" s="138">
        <f t="shared" ref="D24:D31" si="7">C$23*C24</f>
        <v>0</v>
      </c>
      <c r="E24" s="254">
        <v>10</v>
      </c>
      <c r="F24" s="138">
        <f t="shared" ref="F24:F31" si="8">D24*E24</f>
        <v>0</v>
      </c>
      <c r="G24" s="255">
        <v>0.1</v>
      </c>
      <c r="H24" s="138">
        <f t="shared" ref="H24:H31" si="9">(F24-F24*G24)</f>
        <v>0</v>
      </c>
    </row>
    <row r="25" spans="1:8" ht="15.75" customHeight="1">
      <c r="A25" s="344"/>
      <c r="B25" s="245" t="s">
        <v>530</v>
      </c>
      <c r="C25" s="253">
        <v>0</v>
      </c>
      <c r="D25" s="138">
        <f t="shared" si="7"/>
        <v>0</v>
      </c>
      <c r="E25" s="254">
        <v>10</v>
      </c>
      <c r="F25" s="138">
        <f t="shared" si="8"/>
        <v>0</v>
      </c>
      <c r="G25" s="255">
        <v>0.1</v>
      </c>
      <c r="H25" s="138">
        <f t="shared" si="9"/>
        <v>0</v>
      </c>
    </row>
    <row r="26" spans="1:8" ht="15.75" customHeight="1">
      <c r="A26" s="344"/>
      <c r="B26" s="245" t="s">
        <v>525</v>
      </c>
      <c r="C26" s="253">
        <v>0</v>
      </c>
      <c r="D26" s="138">
        <f t="shared" si="7"/>
        <v>0</v>
      </c>
      <c r="E26" s="254">
        <v>10</v>
      </c>
      <c r="F26" s="138">
        <f t="shared" si="8"/>
        <v>0</v>
      </c>
      <c r="G26" s="255">
        <v>0.05</v>
      </c>
      <c r="H26" s="138">
        <f t="shared" si="9"/>
        <v>0</v>
      </c>
    </row>
    <row r="27" spans="1:8" ht="15.75" customHeight="1">
      <c r="A27" s="344"/>
      <c r="B27" s="245" t="s">
        <v>522</v>
      </c>
      <c r="C27" s="253">
        <v>0</v>
      </c>
      <c r="D27" s="138">
        <f t="shared" si="7"/>
        <v>0</v>
      </c>
      <c r="E27" s="254">
        <v>20</v>
      </c>
      <c r="F27" s="138">
        <f t="shared" si="8"/>
        <v>0</v>
      </c>
      <c r="G27" s="255">
        <v>0</v>
      </c>
      <c r="H27" s="138">
        <f t="shared" si="9"/>
        <v>0</v>
      </c>
    </row>
    <row r="28" spans="1:8" ht="15.75" customHeight="1">
      <c r="A28" s="344"/>
      <c r="B28" s="245" t="s">
        <v>531</v>
      </c>
      <c r="C28" s="253">
        <v>0</v>
      </c>
      <c r="D28" s="138">
        <f t="shared" si="7"/>
        <v>0</v>
      </c>
      <c r="E28" s="254"/>
      <c r="F28" s="138">
        <f t="shared" si="8"/>
        <v>0</v>
      </c>
      <c r="G28" s="255">
        <v>0</v>
      </c>
      <c r="H28" s="138">
        <f t="shared" si="9"/>
        <v>0</v>
      </c>
    </row>
    <row r="29" spans="1:8" ht="15.75" customHeight="1">
      <c r="A29" s="344"/>
      <c r="B29" s="245"/>
      <c r="C29" s="253">
        <v>0</v>
      </c>
      <c r="D29" s="138">
        <f t="shared" si="7"/>
        <v>0</v>
      </c>
      <c r="E29" s="254"/>
      <c r="F29" s="138">
        <f t="shared" si="8"/>
        <v>0</v>
      </c>
      <c r="G29" s="255">
        <v>0</v>
      </c>
      <c r="H29" s="138">
        <f t="shared" si="9"/>
        <v>0</v>
      </c>
    </row>
    <row r="30" spans="1:8" ht="15.75" customHeight="1">
      <c r="A30" s="344"/>
      <c r="B30" s="245"/>
      <c r="C30" s="253">
        <v>0</v>
      </c>
      <c r="D30" s="138">
        <f t="shared" si="7"/>
        <v>0</v>
      </c>
      <c r="E30" s="254"/>
      <c r="F30" s="138">
        <f t="shared" si="8"/>
        <v>0</v>
      </c>
      <c r="G30" s="255">
        <v>0</v>
      </c>
      <c r="H30" s="138">
        <f t="shared" si="9"/>
        <v>0</v>
      </c>
    </row>
    <row r="31" spans="1:8" ht="15.75" customHeight="1">
      <c r="A31" s="345"/>
      <c r="B31" s="245"/>
      <c r="C31" s="253">
        <v>0</v>
      </c>
      <c r="D31" s="138">
        <f t="shared" si="7"/>
        <v>0</v>
      </c>
      <c r="E31" s="254"/>
      <c r="F31" s="138">
        <f t="shared" si="8"/>
        <v>0</v>
      </c>
      <c r="G31" s="255">
        <v>0</v>
      </c>
      <c r="H31" s="138">
        <f t="shared" si="9"/>
        <v>0</v>
      </c>
    </row>
    <row r="32" spans="1:8" ht="15.75" customHeight="1">
      <c r="A32" s="256" t="s">
        <v>532</v>
      </c>
      <c r="B32" s="253">
        <v>0.05</v>
      </c>
      <c r="C32" s="138">
        <f>B9*B32</f>
        <v>15</v>
      </c>
      <c r="D32" s="138"/>
      <c r="E32" s="254"/>
      <c r="F32" s="138"/>
      <c r="G32" s="255"/>
      <c r="H32" s="138"/>
    </row>
    <row r="33" spans="1:9" ht="15.75" customHeight="1">
      <c r="A33" s="257" t="s">
        <v>533</v>
      </c>
      <c r="B33" s="245" t="s">
        <v>534</v>
      </c>
      <c r="C33" s="253">
        <v>0</v>
      </c>
      <c r="D33" s="138">
        <f t="shared" ref="D33:D36" si="10">C$32*C33</f>
        <v>0</v>
      </c>
      <c r="E33" s="254"/>
      <c r="F33" s="138">
        <f t="shared" ref="F33:F36" si="11">D33*E33</f>
        <v>0</v>
      </c>
      <c r="G33" s="255">
        <v>0</v>
      </c>
      <c r="H33" s="138">
        <f t="shared" ref="H33:H36" si="12">(F33-F33*G33)</f>
        <v>0</v>
      </c>
    </row>
    <row r="34" spans="1:9" ht="15.75" customHeight="1">
      <c r="A34" s="8"/>
      <c r="B34" s="245"/>
      <c r="C34" s="253">
        <v>0</v>
      </c>
      <c r="D34" s="138">
        <f t="shared" si="10"/>
        <v>0</v>
      </c>
      <c r="E34" s="254"/>
      <c r="F34" s="138">
        <f t="shared" si="11"/>
        <v>0</v>
      </c>
      <c r="G34" s="255">
        <v>0</v>
      </c>
      <c r="H34" s="138">
        <f t="shared" si="12"/>
        <v>0</v>
      </c>
    </row>
    <row r="35" spans="1:9" ht="15.75" customHeight="1">
      <c r="A35" s="8"/>
      <c r="B35" s="245"/>
      <c r="C35" s="253">
        <v>0</v>
      </c>
      <c r="D35" s="138">
        <f t="shared" si="10"/>
        <v>0</v>
      </c>
      <c r="E35" s="254"/>
      <c r="F35" s="138">
        <f t="shared" si="11"/>
        <v>0</v>
      </c>
      <c r="G35" s="255">
        <v>0</v>
      </c>
      <c r="H35" s="138">
        <f t="shared" si="12"/>
        <v>0</v>
      </c>
    </row>
    <row r="36" spans="1:9" ht="15.75" customHeight="1">
      <c r="A36" s="258"/>
      <c r="B36" s="245"/>
      <c r="C36" s="253">
        <v>0</v>
      </c>
      <c r="D36" s="138">
        <f t="shared" si="10"/>
        <v>0</v>
      </c>
      <c r="E36" s="254"/>
      <c r="F36" s="138">
        <f t="shared" si="11"/>
        <v>0</v>
      </c>
      <c r="G36" s="255">
        <v>0</v>
      </c>
      <c r="H36" s="138">
        <f t="shared" si="12"/>
        <v>0</v>
      </c>
    </row>
    <row r="37" spans="1:9" ht="15.75" customHeight="1">
      <c r="A37" s="405" t="s">
        <v>535</v>
      </c>
      <c r="B37" s="335"/>
      <c r="C37" s="335"/>
      <c r="D37" s="335"/>
      <c r="E37" s="335"/>
      <c r="F37" s="335"/>
      <c r="G37" s="335"/>
      <c r="H37" s="335"/>
    </row>
    <row r="38" spans="1:9" ht="15.75" customHeight="1"/>
    <row r="39" spans="1:9" ht="15.75" customHeight="1">
      <c r="A39" s="407" t="s">
        <v>536</v>
      </c>
      <c r="B39" s="339"/>
      <c r="C39" s="339"/>
      <c r="D39" s="339"/>
      <c r="E39" s="339"/>
      <c r="F39" s="339"/>
      <c r="G39" s="339"/>
      <c r="H39" s="340"/>
    </row>
    <row r="40" spans="1:9" ht="15.75" customHeight="1">
      <c r="A40" s="399" t="s">
        <v>149</v>
      </c>
      <c r="B40" s="318">
        <v>0.7</v>
      </c>
      <c r="C40" s="318">
        <v>0.7</v>
      </c>
      <c r="D40" s="318">
        <v>0.7</v>
      </c>
      <c r="E40" s="318">
        <v>0.7</v>
      </c>
      <c r="F40" s="318">
        <v>0.7</v>
      </c>
      <c r="G40" s="318">
        <v>0.7</v>
      </c>
      <c r="H40" s="318">
        <v>0.7</v>
      </c>
      <c r="I40" s="317">
        <v>0</v>
      </c>
    </row>
    <row r="41" spans="1:9" ht="15.75" customHeight="1">
      <c r="A41" s="400"/>
      <c r="B41" s="319" t="s">
        <v>152</v>
      </c>
      <c r="C41" s="319" t="s">
        <v>153</v>
      </c>
      <c r="D41" s="319" t="s">
        <v>154</v>
      </c>
      <c r="E41" s="319" t="s">
        <v>155</v>
      </c>
      <c r="F41" s="319" t="s">
        <v>156</v>
      </c>
      <c r="G41" s="319" t="s">
        <v>157</v>
      </c>
      <c r="H41" s="319" t="s">
        <v>158</v>
      </c>
    </row>
    <row r="42" spans="1:9" ht="15.75" customHeight="1">
      <c r="A42" s="320" t="str">
        <f t="shared" ref="A42:A50" si="13">B14</f>
        <v>Soybean</v>
      </c>
      <c r="B42" s="320">
        <f t="shared" ref="B42:B50" si="14">H14*$B$40</f>
        <v>0</v>
      </c>
      <c r="C42" s="320">
        <f>(B42/B$40)*C$40</f>
        <v>0</v>
      </c>
      <c r="D42" s="320">
        <f t="shared" ref="C42:H57" si="15">(C42/C$40)*D$40</f>
        <v>0</v>
      </c>
      <c r="E42" s="320">
        <f t="shared" si="15"/>
        <v>0</v>
      </c>
      <c r="F42" s="320">
        <f t="shared" si="15"/>
        <v>0</v>
      </c>
      <c r="G42" s="320">
        <f t="shared" si="15"/>
        <v>0</v>
      </c>
      <c r="H42" s="320">
        <f t="shared" si="15"/>
        <v>0</v>
      </c>
    </row>
    <row r="43" spans="1:9" ht="15.75" customHeight="1">
      <c r="A43" s="320" t="str">
        <f t="shared" si="13"/>
        <v>Red Gram/Tur</v>
      </c>
      <c r="B43" s="320">
        <f t="shared" si="14"/>
        <v>0</v>
      </c>
      <c r="C43" s="320">
        <f t="shared" si="15"/>
        <v>0</v>
      </c>
      <c r="D43" s="320">
        <f t="shared" si="15"/>
        <v>0</v>
      </c>
      <c r="E43" s="320">
        <f t="shared" si="15"/>
        <v>0</v>
      </c>
      <c r="F43" s="320">
        <f t="shared" si="15"/>
        <v>0</v>
      </c>
      <c r="G43" s="320">
        <f t="shared" si="15"/>
        <v>0</v>
      </c>
      <c r="H43" s="320">
        <f t="shared" si="15"/>
        <v>0</v>
      </c>
    </row>
    <row r="44" spans="1:9" ht="15.75" customHeight="1">
      <c r="A44" s="320" t="str">
        <f t="shared" si="13"/>
        <v>Turmeric</v>
      </c>
      <c r="B44" s="320">
        <f t="shared" si="14"/>
        <v>3779.9999999999995</v>
      </c>
      <c r="C44" s="320">
        <f t="shared" si="15"/>
        <v>3779.9999999999995</v>
      </c>
      <c r="D44" s="320">
        <f t="shared" si="15"/>
        <v>3779.9999999999995</v>
      </c>
      <c r="E44" s="320">
        <f t="shared" si="15"/>
        <v>3779.9999999999995</v>
      </c>
      <c r="F44" s="320">
        <f t="shared" si="15"/>
        <v>3779.9999999999995</v>
      </c>
      <c r="G44" s="320">
        <f t="shared" si="15"/>
        <v>3779.9999999999995</v>
      </c>
      <c r="H44" s="320">
        <f t="shared" si="15"/>
        <v>3779.9999999999995</v>
      </c>
    </row>
    <row r="45" spans="1:9" ht="15.75" customHeight="1">
      <c r="A45" s="320" t="str">
        <f t="shared" si="13"/>
        <v>Green Gram/ Moong</v>
      </c>
      <c r="B45" s="320">
        <f t="shared" si="14"/>
        <v>0</v>
      </c>
      <c r="C45" s="320">
        <f t="shared" si="15"/>
        <v>0</v>
      </c>
      <c r="D45" s="320">
        <f t="shared" si="15"/>
        <v>0</v>
      </c>
      <c r="E45" s="320">
        <f t="shared" si="15"/>
        <v>0</v>
      </c>
      <c r="F45" s="320">
        <f t="shared" si="15"/>
        <v>0</v>
      </c>
      <c r="G45" s="320">
        <f t="shared" si="15"/>
        <v>0</v>
      </c>
      <c r="H45" s="320">
        <f t="shared" si="15"/>
        <v>0</v>
      </c>
    </row>
    <row r="46" spans="1:9" ht="15.75" customHeight="1">
      <c r="A46" s="320" t="str">
        <f t="shared" si="13"/>
        <v>Maize</v>
      </c>
      <c r="B46" s="320">
        <f t="shared" si="14"/>
        <v>0</v>
      </c>
      <c r="C46" s="320">
        <f t="shared" si="15"/>
        <v>0</v>
      </c>
      <c r="D46" s="320">
        <f t="shared" si="15"/>
        <v>0</v>
      </c>
      <c r="E46" s="320">
        <f t="shared" si="15"/>
        <v>0</v>
      </c>
      <c r="F46" s="320">
        <f t="shared" si="15"/>
        <v>0</v>
      </c>
      <c r="G46" s="320">
        <f t="shared" si="15"/>
        <v>0</v>
      </c>
      <c r="H46" s="320">
        <f t="shared" si="15"/>
        <v>0</v>
      </c>
    </row>
    <row r="47" spans="1:9" ht="15.75" customHeight="1">
      <c r="A47" s="320" t="str">
        <f t="shared" si="13"/>
        <v>Black Gram/Udid</v>
      </c>
      <c r="B47" s="320">
        <f t="shared" si="14"/>
        <v>0</v>
      </c>
      <c r="C47" s="320">
        <f t="shared" si="15"/>
        <v>0</v>
      </c>
      <c r="D47" s="320">
        <f t="shared" si="15"/>
        <v>0</v>
      </c>
      <c r="E47" s="320">
        <f t="shared" si="15"/>
        <v>0</v>
      </c>
      <c r="F47" s="320">
        <f t="shared" si="15"/>
        <v>0</v>
      </c>
      <c r="G47" s="320">
        <f t="shared" si="15"/>
        <v>0</v>
      </c>
      <c r="H47" s="320">
        <f t="shared" si="15"/>
        <v>0</v>
      </c>
    </row>
    <row r="48" spans="1:9" ht="15.75" customHeight="1">
      <c r="A48" s="320" t="str">
        <f t="shared" si="13"/>
        <v>Bajra</v>
      </c>
      <c r="B48" s="320">
        <f t="shared" si="14"/>
        <v>0</v>
      </c>
      <c r="C48" s="320">
        <f t="shared" si="15"/>
        <v>0</v>
      </c>
      <c r="D48" s="320">
        <f t="shared" si="15"/>
        <v>0</v>
      </c>
      <c r="E48" s="320">
        <f t="shared" si="15"/>
        <v>0</v>
      </c>
      <c r="F48" s="320">
        <f t="shared" si="15"/>
        <v>0</v>
      </c>
      <c r="G48" s="320">
        <f t="shared" si="15"/>
        <v>0</v>
      </c>
      <c r="H48" s="320">
        <f t="shared" si="15"/>
        <v>0</v>
      </c>
    </row>
    <row r="49" spans="1:8" ht="15.75" customHeight="1">
      <c r="A49" s="320" t="str">
        <f t="shared" si="13"/>
        <v>Jawar</v>
      </c>
      <c r="B49" s="320">
        <f t="shared" si="14"/>
        <v>0</v>
      </c>
      <c r="C49" s="320">
        <f t="shared" si="15"/>
        <v>0</v>
      </c>
      <c r="D49" s="320">
        <f t="shared" si="15"/>
        <v>0</v>
      </c>
      <c r="E49" s="320">
        <f t="shared" si="15"/>
        <v>0</v>
      </c>
      <c r="F49" s="320">
        <f t="shared" si="15"/>
        <v>0</v>
      </c>
      <c r="G49" s="320">
        <f t="shared" si="15"/>
        <v>0</v>
      </c>
      <c r="H49" s="320">
        <f t="shared" si="15"/>
        <v>0</v>
      </c>
    </row>
    <row r="50" spans="1:8" ht="15.75" customHeight="1">
      <c r="A50" s="320" t="str">
        <f t="shared" si="13"/>
        <v>Sunflower</v>
      </c>
      <c r="B50" s="320">
        <f t="shared" si="14"/>
        <v>0</v>
      </c>
      <c r="C50" s="320">
        <f t="shared" si="15"/>
        <v>0</v>
      </c>
      <c r="D50" s="320">
        <f t="shared" si="15"/>
        <v>0</v>
      </c>
      <c r="E50" s="320">
        <f t="shared" si="15"/>
        <v>0</v>
      </c>
      <c r="F50" s="320">
        <f t="shared" si="15"/>
        <v>0</v>
      </c>
      <c r="G50" s="320">
        <f t="shared" si="15"/>
        <v>0</v>
      </c>
      <c r="H50" s="320">
        <f t="shared" si="15"/>
        <v>0</v>
      </c>
    </row>
    <row r="51" spans="1:8" ht="15.75" customHeight="1">
      <c r="A51" s="320" t="str">
        <f t="shared" ref="A51:A58" si="16">B24</f>
        <v>Wheat</v>
      </c>
      <c r="B51" s="320">
        <f t="shared" ref="B51:B58" si="17">H24*$B$40</f>
        <v>0</v>
      </c>
      <c r="C51" s="320">
        <f t="shared" si="15"/>
        <v>0</v>
      </c>
      <c r="D51" s="320">
        <f t="shared" si="15"/>
        <v>0</v>
      </c>
      <c r="E51" s="320">
        <f t="shared" si="15"/>
        <v>0</v>
      </c>
      <c r="F51" s="320">
        <f t="shared" si="15"/>
        <v>0</v>
      </c>
      <c r="G51" s="320">
        <f t="shared" si="15"/>
        <v>0</v>
      </c>
      <c r="H51" s="320">
        <f t="shared" si="15"/>
        <v>0</v>
      </c>
    </row>
    <row r="52" spans="1:8" ht="15.75" customHeight="1">
      <c r="A52" s="320" t="str">
        <f t="shared" si="16"/>
        <v>Bengal Gram/Channa</v>
      </c>
      <c r="B52" s="320">
        <f t="shared" si="17"/>
        <v>0</v>
      </c>
      <c r="C52" s="320">
        <f t="shared" si="15"/>
        <v>0</v>
      </c>
      <c r="D52" s="320">
        <f t="shared" si="15"/>
        <v>0</v>
      </c>
      <c r="E52" s="320">
        <f t="shared" si="15"/>
        <v>0</v>
      </c>
      <c r="F52" s="320">
        <f t="shared" si="15"/>
        <v>0</v>
      </c>
      <c r="G52" s="320">
        <f t="shared" si="15"/>
        <v>0</v>
      </c>
      <c r="H52" s="320">
        <f t="shared" si="15"/>
        <v>0</v>
      </c>
    </row>
    <row r="53" spans="1:8" ht="15.75" customHeight="1">
      <c r="A53" s="320" t="str">
        <f t="shared" si="16"/>
        <v>Jawar</v>
      </c>
      <c r="B53" s="320">
        <f t="shared" si="17"/>
        <v>0</v>
      </c>
      <c r="C53" s="320">
        <f t="shared" si="15"/>
        <v>0</v>
      </c>
      <c r="D53" s="320">
        <f t="shared" si="15"/>
        <v>0</v>
      </c>
      <c r="E53" s="320">
        <f t="shared" si="15"/>
        <v>0</v>
      </c>
      <c r="F53" s="320">
        <f t="shared" si="15"/>
        <v>0</v>
      </c>
      <c r="G53" s="320">
        <f t="shared" si="15"/>
        <v>0</v>
      </c>
      <c r="H53" s="320">
        <f t="shared" si="15"/>
        <v>0</v>
      </c>
    </row>
    <row r="54" spans="1:8" ht="15.75" customHeight="1">
      <c r="A54" s="320" t="str">
        <f t="shared" si="16"/>
        <v>Maize</v>
      </c>
      <c r="B54" s="320">
        <f t="shared" si="17"/>
        <v>0</v>
      </c>
      <c r="C54" s="320">
        <f t="shared" si="15"/>
        <v>0</v>
      </c>
      <c r="D54" s="320">
        <f t="shared" si="15"/>
        <v>0</v>
      </c>
      <c r="E54" s="320">
        <f t="shared" si="15"/>
        <v>0</v>
      </c>
      <c r="F54" s="320">
        <f t="shared" si="15"/>
        <v>0</v>
      </c>
      <c r="G54" s="320">
        <f t="shared" si="15"/>
        <v>0</v>
      </c>
      <c r="H54" s="320">
        <f t="shared" si="15"/>
        <v>0</v>
      </c>
    </row>
    <row r="55" spans="1:8" ht="15.75" customHeight="1">
      <c r="A55" s="320" t="str">
        <f t="shared" si="16"/>
        <v>Safflower</v>
      </c>
      <c r="B55" s="320">
        <f t="shared" si="17"/>
        <v>0</v>
      </c>
      <c r="C55" s="320">
        <f t="shared" si="15"/>
        <v>0</v>
      </c>
      <c r="D55" s="320">
        <f t="shared" si="15"/>
        <v>0</v>
      </c>
      <c r="E55" s="320">
        <f t="shared" si="15"/>
        <v>0</v>
      </c>
      <c r="F55" s="320">
        <f t="shared" si="15"/>
        <v>0</v>
      </c>
      <c r="G55" s="320">
        <f t="shared" si="15"/>
        <v>0</v>
      </c>
      <c r="H55" s="320">
        <f t="shared" si="15"/>
        <v>0</v>
      </c>
    </row>
    <row r="56" spans="1:8" ht="15.75" customHeight="1">
      <c r="A56" s="320">
        <f t="shared" si="16"/>
        <v>0</v>
      </c>
      <c r="B56" s="320">
        <f t="shared" si="17"/>
        <v>0</v>
      </c>
      <c r="C56" s="320">
        <f t="shared" si="15"/>
        <v>0</v>
      </c>
      <c r="D56" s="320">
        <f t="shared" si="15"/>
        <v>0</v>
      </c>
      <c r="E56" s="320">
        <f t="shared" si="15"/>
        <v>0</v>
      </c>
      <c r="F56" s="320">
        <f t="shared" si="15"/>
        <v>0</v>
      </c>
      <c r="G56" s="320">
        <f t="shared" si="15"/>
        <v>0</v>
      </c>
      <c r="H56" s="320">
        <f t="shared" si="15"/>
        <v>0</v>
      </c>
    </row>
    <row r="57" spans="1:8" ht="15.75" customHeight="1">
      <c r="A57" s="320">
        <f t="shared" si="16"/>
        <v>0</v>
      </c>
      <c r="B57" s="320">
        <f t="shared" si="17"/>
        <v>0</v>
      </c>
      <c r="C57" s="320">
        <f t="shared" si="15"/>
        <v>0</v>
      </c>
      <c r="D57" s="320">
        <f t="shared" si="15"/>
        <v>0</v>
      </c>
      <c r="E57" s="320">
        <f t="shared" si="15"/>
        <v>0</v>
      </c>
      <c r="F57" s="320">
        <f t="shared" si="15"/>
        <v>0</v>
      </c>
      <c r="G57" s="320">
        <f t="shared" si="15"/>
        <v>0</v>
      </c>
      <c r="H57" s="320">
        <f t="shared" si="15"/>
        <v>0</v>
      </c>
    </row>
    <row r="58" spans="1:8" ht="15.75" customHeight="1">
      <c r="A58" s="320">
        <f t="shared" si="16"/>
        <v>0</v>
      </c>
      <c r="B58" s="320">
        <f t="shared" si="17"/>
        <v>0</v>
      </c>
      <c r="C58" s="320">
        <f t="shared" ref="C58:H62" si="18">(B58/B$40)*C$40</f>
        <v>0</v>
      </c>
      <c r="D58" s="320">
        <f t="shared" si="18"/>
        <v>0</v>
      </c>
      <c r="E58" s="320">
        <f t="shared" si="18"/>
        <v>0</v>
      </c>
      <c r="F58" s="320">
        <f t="shared" si="18"/>
        <v>0</v>
      </c>
      <c r="G58" s="320">
        <f t="shared" si="18"/>
        <v>0</v>
      </c>
      <c r="H58" s="320">
        <f t="shared" si="18"/>
        <v>0</v>
      </c>
    </row>
    <row r="59" spans="1:8" ht="15.75" customHeight="1">
      <c r="A59" s="320" t="str">
        <f>B33</f>
        <v>Groundnut</v>
      </c>
      <c r="B59" s="320">
        <f>H33*$B$40</f>
        <v>0</v>
      </c>
      <c r="C59" s="320">
        <f t="shared" si="18"/>
        <v>0</v>
      </c>
      <c r="D59" s="320">
        <f t="shared" si="18"/>
        <v>0</v>
      </c>
      <c r="E59" s="320">
        <f t="shared" si="18"/>
        <v>0</v>
      </c>
      <c r="F59" s="320">
        <f t="shared" si="18"/>
        <v>0</v>
      </c>
      <c r="G59" s="320">
        <f t="shared" si="18"/>
        <v>0</v>
      </c>
      <c r="H59" s="320">
        <f t="shared" si="18"/>
        <v>0</v>
      </c>
    </row>
    <row r="60" spans="1:8" ht="15.75" customHeight="1">
      <c r="A60" s="320">
        <f>B34</f>
        <v>0</v>
      </c>
      <c r="B60" s="320">
        <f>H34*$B$40</f>
        <v>0</v>
      </c>
      <c r="C60" s="320">
        <f t="shared" si="18"/>
        <v>0</v>
      </c>
      <c r="D60" s="320">
        <f t="shared" si="18"/>
        <v>0</v>
      </c>
      <c r="E60" s="320">
        <f t="shared" si="18"/>
        <v>0</v>
      </c>
      <c r="F60" s="320">
        <f t="shared" si="18"/>
        <v>0</v>
      </c>
      <c r="G60" s="320">
        <f t="shared" si="18"/>
        <v>0</v>
      </c>
      <c r="H60" s="320">
        <f t="shared" si="18"/>
        <v>0</v>
      </c>
    </row>
    <row r="61" spans="1:8" ht="15.75" customHeight="1">
      <c r="A61" s="320">
        <f>B35</f>
        <v>0</v>
      </c>
      <c r="B61" s="320">
        <f>H35*$B$40</f>
        <v>0</v>
      </c>
      <c r="C61" s="320">
        <f t="shared" si="18"/>
        <v>0</v>
      </c>
      <c r="D61" s="320">
        <f t="shared" si="18"/>
        <v>0</v>
      </c>
      <c r="E61" s="320">
        <f t="shared" si="18"/>
        <v>0</v>
      </c>
      <c r="F61" s="320">
        <f t="shared" si="18"/>
        <v>0</v>
      </c>
      <c r="G61" s="320">
        <f t="shared" si="18"/>
        <v>0</v>
      </c>
      <c r="H61" s="320">
        <f t="shared" si="18"/>
        <v>0</v>
      </c>
    </row>
    <row r="62" spans="1:8" ht="15.75" customHeight="1">
      <c r="A62" s="320">
        <f>B36</f>
        <v>0</v>
      </c>
      <c r="B62" s="320">
        <f>H36*$B$40</f>
        <v>0</v>
      </c>
      <c r="C62" s="320">
        <f t="shared" si="18"/>
        <v>0</v>
      </c>
      <c r="D62" s="320">
        <f t="shared" si="18"/>
        <v>0</v>
      </c>
      <c r="E62" s="320">
        <f t="shared" si="18"/>
        <v>0</v>
      </c>
      <c r="F62" s="320">
        <f t="shared" si="18"/>
        <v>0</v>
      </c>
      <c r="G62" s="320">
        <f t="shared" si="18"/>
        <v>0</v>
      </c>
      <c r="H62" s="320">
        <f t="shared" si="18"/>
        <v>0</v>
      </c>
    </row>
    <row r="63" spans="1:8" ht="15.75" customHeight="1">
      <c r="A63" s="321"/>
      <c r="B63" s="321"/>
      <c r="C63" s="321"/>
      <c r="D63" s="321"/>
      <c r="E63" s="321"/>
      <c r="F63" s="321"/>
      <c r="G63" s="321"/>
      <c r="H63" s="321"/>
    </row>
    <row r="64" spans="1:8" ht="15.75" customHeight="1">
      <c r="A64" s="321"/>
      <c r="B64" s="321"/>
      <c r="C64" s="321"/>
      <c r="D64" s="321"/>
      <c r="E64" s="321"/>
      <c r="F64" s="321"/>
      <c r="G64" s="321"/>
      <c r="H64" s="321"/>
    </row>
    <row r="65" spans="1:26" ht="15.75" customHeight="1">
      <c r="A65" s="401" t="s">
        <v>537</v>
      </c>
      <c r="B65" s="339"/>
      <c r="C65" s="339"/>
      <c r="D65" s="339"/>
      <c r="E65" s="339"/>
      <c r="F65" s="339"/>
      <c r="G65" s="339"/>
      <c r="H65" s="340"/>
    </row>
    <row r="66" spans="1:26" ht="15.75" customHeight="1">
      <c r="A66" s="408" t="s">
        <v>149</v>
      </c>
      <c r="B66" s="260">
        <v>0.3</v>
      </c>
      <c r="C66" s="260">
        <v>0.3</v>
      </c>
      <c r="D66" s="260">
        <v>0.3</v>
      </c>
      <c r="E66" s="260">
        <v>0.3</v>
      </c>
      <c r="F66" s="260">
        <v>0.3</v>
      </c>
      <c r="G66" s="260">
        <v>0.3</v>
      </c>
      <c r="H66" s="260">
        <v>0.3</v>
      </c>
    </row>
    <row r="67" spans="1:26" ht="15.75" customHeight="1">
      <c r="A67" s="345"/>
      <c r="B67" s="243" t="s">
        <v>152</v>
      </c>
      <c r="C67" s="243" t="s">
        <v>153</v>
      </c>
      <c r="D67" s="243" t="s">
        <v>154</v>
      </c>
      <c r="E67" s="243" t="s">
        <v>155</v>
      </c>
      <c r="F67" s="243" t="s">
        <v>156</v>
      </c>
      <c r="G67" s="243" t="s">
        <v>157</v>
      </c>
      <c r="H67" s="243" t="s">
        <v>158</v>
      </c>
    </row>
    <row r="68" spans="1:26" ht="15.75" customHeight="1">
      <c r="A68" s="138" t="str">
        <f t="shared" ref="A68:A88" si="19">A42</f>
        <v>Soybean</v>
      </c>
      <c r="B68" s="138">
        <f>H14*$B$66*0</f>
        <v>0</v>
      </c>
      <c r="C68" s="138">
        <f t="shared" ref="C68:H68" si="20">(B68/B$66)*C$66</f>
        <v>0</v>
      </c>
      <c r="D68" s="138">
        <f t="shared" si="20"/>
        <v>0</v>
      </c>
      <c r="E68" s="138">
        <f t="shared" si="20"/>
        <v>0</v>
      </c>
      <c r="F68" s="138">
        <f t="shared" si="20"/>
        <v>0</v>
      </c>
      <c r="G68" s="138">
        <f t="shared" si="20"/>
        <v>0</v>
      </c>
      <c r="H68" s="138">
        <f t="shared" si="20"/>
        <v>0</v>
      </c>
      <c r="I68" s="82"/>
      <c r="J68" s="82"/>
      <c r="K68" s="82"/>
      <c r="L68" s="82"/>
      <c r="M68" s="82"/>
      <c r="N68" s="82"/>
      <c r="O68" s="82"/>
      <c r="P68" s="82"/>
      <c r="Q68" s="82"/>
      <c r="R68" s="82"/>
      <c r="S68" s="82"/>
      <c r="T68" s="82"/>
      <c r="U68" s="82"/>
      <c r="V68" s="82"/>
      <c r="W68" s="82"/>
      <c r="X68" s="82"/>
      <c r="Y68" s="82"/>
      <c r="Z68" s="82"/>
    </row>
    <row r="69" spans="1:26" ht="15.75" customHeight="1">
      <c r="A69" s="138" t="str">
        <f t="shared" si="19"/>
        <v>Red Gram/Tur</v>
      </c>
      <c r="B69" s="138">
        <f t="shared" ref="B69:B76" si="21">H15*$B$66</f>
        <v>0</v>
      </c>
      <c r="C69" s="138">
        <f t="shared" ref="C69:H69" si="22">(B69/B$66)*C$66</f>
        <v>0</v>
      </c>
      <c r="D69" s="138">
        <f t="shared" si="22"/>
        <v>0</v>
      </c>
      <c r="E69" s="138">
        <f t="shared" si="22"/>
        <v>0</v>
      </c>
      <c r="F69" s="138">
        <f t="shared" si="22"/>
        <v>0</v>
      </c>
      <c r="G69" s="138">
        <f t="shared" si="22"/>
        <v>0</v>
      </c>
      <c r="H69" s="138">
        <f t="shared" si="22"/>
        <v>0</v>
      </c>
    </row>
    <row r="70" spans="1:26" ht="15.75" customHeight="1">
      <c r="A70" s="138" t="str">
        <f t="shared" si="19"/>
        <v>Turmeric</v>
      </c>
      <c r="B70" s="138">
        <f t="shared" si="21"/>
        <v>1620</v>
      </c>
      <c r="C70" s="138">
        <f t="shared" ref="C70:H70" si="23">(B70/B$66)*C$66</f>
        <v>1620</v>
      </c>
      <c r="D70" s="138">
        <f t="shared" si="23"/>
        <v>1620</v>
      </c>
      <c r="E70" s="138">
        <f t="shared" si="23"/>
        <v>1620</v>
      </c>
      <c r="F70" s="138">
        <f t="shared" si="23"/>
        <v>1620</v>
      </c>
      <c r="G70" s="138">
        <f t="shared" si="23"/>
        <v>1620</v>
      </c>
      <c r="H70" s="138">
        <f t="shared" si="23"/>
        <v>1620</v>
      </c>
    </row>
    <row r="71" spans="1:26" ht="15.75" customHeight="1">
      <c r="A71" s="138" t="str">
        <f t="shared" si="19"/>
        <v>Green Gram/ Moong</v>
      </c>
      <c r="B71" s="138">
        <f t="shared" si="21"/>
        <v>0</v>
      </c>
      <c r="C71" s="138">
        <f t="shared" ref="C71:H71" si="24">(B71/B$66)*C$66</f>
        <v>0</v>
      </c>
      <c r="D71" s="138">
        <f t="shared" si="24"/>
        <v>0</v>
      </c>
      <c r="E71" s="138">
        <f t="shared" si="24"/>
        <v>0</v>
      </c>
      <c r="F71" s="138">
        <f t="shared" si="24"/>
        <v>0</v>
      </c>
      <c r="G71" s="138">
        <f t="shared" si="24"/>
        <v>0</v>
      </c>
      <c r="H71" s="138">
        <f t="shared" si="24"/>
        <v>0</v>
      </c>
    </row>
    <row r="72" spans="1:26" ht="15.75" customHeight="1">
      <c r="A72" s="138" t="str">
        <f t="shared" si="19"/>
        <v>Maize</v>
      </c>
      <c r="B72" s="138">
        <f t="shared" si="21"/>
        <v>0</v>
      </c>
      <c r="C72" s="138">
        <f t="shared" ref="C72:H72" si="25">(B72/B$66)*C$66</f>
        <v>0</v>
      </c>
      <c r="D72" s="138">
        <f t="shared" si="25"/>
        <v>0</v>
      </c>
      <c r="E72" s="138">
        <f t="shared" si="25"/>
        <v>0</v>
      </c>
      <c r="F72" s="138">
        <f t="shared" si="25"/>
        <v>0</v>
      </c>
      <c r="G72" s="138">
        <f t="shared" si="25"/>
        <v>0</v>
      </c>
      <c r="H72" s="138">
        <f t="shared" si="25"/>
        <v>0</v>
      </c>
    </row>
    <row r="73" spans="1:26" ht="15.75" customHeight="1">
      <c r="A73" s="138" t="str">
        <f t="shared" si="19"/>
        <v>Black Gram/Udid</v>
      </c>
      <c r="B73" s="138">
        <f t="shared" si="21"/>
        <v>0</v>
      </c>
      <c r="C73" s="138">
        <f t="shared" ref="C73:H73" si="26">(B73/B$66)*C$66</f>
        <v>0</v>
      </c>
      <c r="D73" s="138">
        <f t="shared" si="26"/>
        <v>0</v>
      </c>
      <c r="E73" s="138">
        <f t="shared" si="26"/>
        <v>0</v>
      </c>
      <c r="F73" s="138">
        <f t="shared" si="26"/>
        <v>0</v>
      </c>
      <c r="G73" s="138">
        <f t="shared" si="26"/>
        <v>0</v>
      </c>
      <c r="H73" s="138">
        <f t="shared" si="26"/>
        <v>0</v>
      </c>
    </row>
    <row r="74" spans="1:26" ht="15.75" customHeight="1">
      <c r="A74" s="138" t="str">
        <f t="shared" si="19"/>
        <v>Bajra</v>
      </c>
      <c r="B74" s="138">
        <f t="shared" si="21"/>
        <v>0</v>
      </c>
      <c r="C74" s="138">
        <f t="shared" ref="C74:H74" si="27">(B74/B$66)*C$66</f>
        <v>0</v>
      </c>
      <c r="D74" s="138">
        <f t="shared" si="27"/>
        <v>0</v>
      </c>
      <c r="E74" s="138">
        <f t="shared" si="27"/>
        <v>0</v>
      </c>
      <c r="F74" s="138">
        <f t="shared" si="27"/>
        <v>0</v>
      </c>
      <c r="G74" s="138">
        <f t="shared" si="27"/>
        <v>0</v>
      </c>
      <c r="H74" s="138">
        <f t="shared" si="27"/>
        <v>0</v>
      </c>
    </row>
    <row r="75" spans="1:26" ht="15.75" customHeight="1">
      <c r="A75" s="138" t="str">
        <f t="shared" si="19"/>
        <v>Jawar</v>
      </c>
      <c r="B75" s="138">
        <f t="shared" si="21"/>
        <v>0</v>
      </c>
      <c r="C75" s="138">
        <f t="shared" ref="C75:H75" si="28">(B75/B$66)*C$66</f>
        <v>0</v>
      </c>
      <c r="D75" s="138">
        <f t="shared" si="28"/>
        <v>0</v>
      </c>
      <c r="E75" s="138">
        <f t="shared" si="28"/>
        <v>0</v>
      </c>
      <c r="F75" s="138">
        <f t="shared" si="28"/>
        <v>0</v>
      </c>
      <c r="G75" s="138">
        <f t="shared" si="28"/>
        <v>0</v>
      </c>
      <c r="H75" s="138">
        <f t="shared" si="28"/>
        <v>0</v>
      </c>
    </row>
    <row r="76" spans="1:26" ht="15.75" customHeight="1">
      <c r="A76" s="138" t="str">
        <f t="shared" si="19"/>
        <v>Sunflower</v>
      </c>
      <c r="B76" s="138">
        <f t="shared" si="21"/>
        <v>0</v>
      </c>
      <c r="C76" s="138">
        <f t="shared" ref="C76:H76" si="29">(B76/B$66)*C$66</f>
        <v>0</v>
      </c>
      <c r="D76" s="138">
        <f t="shared" si="29"/>
        <v>0</v>
      </c>
      <c r="E76" s="138">
        <f t="shared" si="29"/>
        <v>0</v>
      </c>
      <c r="F76" s="138">
        <f t="shared" si="29"/>
        <v>0</v>
      </c>
      <c r="G76" s="138">
        <f t="shared" si="29"/>
        <v>0</v>
      </c>
      <c r="H76" s="138">
        <f t="shared" si="29"/>
        <v>0</v>
      </c>
    </row>
    <row r="77" spans="1:26" ht="15.75" customHeight="1">
      <c r="A77" s="138" t="str">
        <f t="shared" si="19"/>
        <v>Wheat</v>
      </c>
      <c r="B77" s="138">
        <f t="shared" ref="B77:B84" si="30">H24*$B$66</f>
        <v>0</v>
      </c>
      <c r="C77" s="138">
        <f t="shared" ref="C77:H77" si="31">(B77/B$66)*C$66</f>
        <v>0</v>
      </c>
      <c r="D77" s="138">
        <f t="shared" si="31"/>
        <v>0</v>
      </c>
      <c r="E77" s="138">
        <f t="shared" si="31"/>
        <v>0</v>
      </c>
      <c r="F77" s="138">
        <f t="shared" si="31"/>
        <v>0</v>
      </c>
      <c r="G77" s="138">
        <f t="shared" si="31"/>
        <v>0</v>
      </c>
      <c r="H77" s="138">
        <f t="shared" si="31"/>
        <v>0</v>
      </c>
    </row>
    <row r="78" spans="1:26" ht="15.75" customHeight="1">
      <c r="A78" s="138" t="str">
        <f t="shared" si="19"/>
        <v>Bengal Gram/Channa</v>
      </c>
      <c r="B78" s="138">
        <f t="shared" si="30"/>
        <v>0</v>
      </c>
      <c r="C78" s="138">
        <f t="shared" ref="C78:H78" si="32">(B78/B$66)*C$66</f>
        <v>0</v>
      </c>
      <c r="D78" s="138">
        <f t="shared" si="32"/>
        <v>0</v>
      </c>
      <c r="E78" s="138">
        <f t="shared" si="32"/>
        <v>0</v>
      </c>
      <c r="F78" s="138">
        <f t="shared" si="32"/>
        <v>0</v>
      </c>
      <c r="G78" s="138">
        <f t="shared" si="32"/>
        <v>0</v>
      </c>
      <c r="H78" s="138">
        <f t="shared" si="32"/>
        <v>0</v>
      </c>
    </row>
    <row r="79" spans="1:26" ht="15.75" customHeight="1">
      <c r="A79" s="138" t="str">
        <f t="shared" si="19"/>
        <v>Jawar</v>
      </c>
      <c r="B79" s="138">
        <f t="shared" si="30"/>
        <v>0</v>
      </c>
      <c r="C79" s="138">
        <f t="shared" ref="C79:H79" si="33">(B79/B$66)*C$66</f>
        <v>0</v>
      </c>
      <c r="D79" s="138">
        <f t="shared" si="33"/>
        <v>0</v>
      </c>
      <c r="E79" s="138">
        <f t="shared" si="33"/>
        <v>0</v>
      </c>
      <c r="F79" s="138">
        <f t="shared" si="33"/>
        <v>0</v>
      </c>
      <c r="G79" s="138">
        <f t="shared" si="33"/>
        <v>0</v>
      </c>
      <c r="H79" s="138">
        <f t="shared" si="33"/>
        <v>0</v>
      </c>
    </row>
    <row r="80" spans="1:26" ht="15.75" customHeight="1">
      <c r="A80" s="138" t="str">
        <f t="shared" si="19"/>
        <v>Maize</v>
      </c>
      <c r="B80" s="138">
        <f t="shared" si="30"/>
        <v>0</v>
      </c>
      <c r="C80" s="138">
        <f t="shared" ref="C80:H80" si="34">(B80/B$66)*C$66</f>
        <v>0</v>
      </c>
      <c r="D80" s="138">
        <f t="shared" si="34"/>
        <v>0</v>
      </c>
      <c r="E80" s="138">
        <f t="shared" si="34"/>
        <v>0</v>
      </c>
      <c r="F80" s="138">
        <f t="shared" si="34"/>
        <v>0</v>
      </c>
      <c r="G80" s="138">
        <f t="shared" si="34"/>
        <v>0</v>
      </c>
      <c r="H80" s="138">
        <f t="shared" si="34"/>
        <v>0</v>
      </c>
    </row>
    <row r="81" spans="1:26" ht="15.75" customHeight="1">
      <c r="A81" s="138" t="str">
        <f t="shared" si="19"/>
        <v>Safflower</v>
      </c>
      <c r="B81" s="138">
        <f t="shared" si="30"/>
        <v>0</v>
      </c>
      <c r="C81" s="138">
        <f t="shared" ref="C81:H81" si="35">(B81/B$66)*C$66</f>
        <v>0</v>
      </c>
      <c r="D81" s="138">
        <f t="shared" si="35"/>
        <v>0</v>
      </c>
      <c r="E81" s="138">
        <f t="shared" si="35"/>
        <v>0</v>
      </c>
      <c r="F81" s="138">
        <f t="shared" si="35"/>
        <v>0</v>
      </c>
      <c r="G81" s="138">
        <f t="shared" si="35"/>
        <v>0</v>
      </c>
      <c r="H81" s="138">
        <f t="shared" si="35"/>
        <v>0</v>
      </c>
    </row>
    <row r="82" spans="1:26" ht="15.75" customHeight="1">
      <c r="A82" s="138">
        <f t="shared" si="19"/>
        <v>0</v>
      </c>
      <c r="B82" s="138">
        <f t="shared" si="30"/>
        <v>0</v>
      </c>
      <c r="C82" s="138">
        <f t="shared" ref="C82:H82" si="36">(B82/B$66)*C$66</f>
        <v>0</v>
      </c>
      <c r="D82" s="138">
        <f t="shared" si="36"/>
        <v>0</v>
      </c>
      <c r="E82" s="138">
        <f t="shared" si="36"/>
        <v>0</v>
      </c>
      <c r="F82" s="138">
        <f t="shared" si="36"/>
        <v>0</v>
      </c>
      <c r="G82" s="138">
        <f t="shared" si="36"/>
        <v>0</v>
      </c>
      <c r="H82" s="138">
        <f t="shared" si="36"/>
        <v>0</v>
      </c>
    </row>
    <row r="83" spans="1:26" ht="15.75" customHeight="1">
      <c r="A83" s="138">
        <f t="shared" si="19"/>
        <v>0</v>
      </c>
      <c r="B83" s="138">
        <f t="shared" si="30"/>
        <v>0</v>
      </c>
      <c r="C83" s="138">
        <f t="shared" ref="C83:H83" si="37">(B83/B$66)*C$66</f>
        <v>0</v>
      </c>
      <c r="D83" s="138">
        <f t="shared" si="37"/>
        <v>0</v>
      </c>
      <c r="E83" s="138">
        <f t="shared" si="37"/>
        <v>0</v>
      </c>
      <c r="F83" s="138">
        <f t="shared" si="37"/>
        <v>0</v>
      </c>
      <c r="G83" s="138">
        <f t="shared" si="37"/>
        <v>0</v>
      </c>
      <c r="H83" s="138">
        <f t="shared" si="37"/>
        <v>0</v>
      </c>
    </row>
    <row r="84" spans="1:26" ht="15.75" customHeight="1">
      <c r="A84" s="138">
        <f t="shared" si="19"/>
        <v>0</v>
      </c>
      <c r="B84" s="138">
        <f t="shared" si="30"/>
        <v>0</v>
      </c>
      <c r="C84" s="138">
        <f t="shared" ref="C84:H84" si="38">(B84/B$66)*C$66</f>
        <v>0</v>
      </c>
      <c r="D84" s="138">
        <f t="shared" si="38"/>
        <v>0</v>
      </c>
      <c r="E84" s="138">
        <f t="shared" si="38"/>
        <v>0</v>
      </c>
      <c r="F84" s="138">
        <f t="shared" si="38"/>
        <v>0</v>
      </c>
      <c r="G84" s="138">
        <f t="shared" si="38"/>
        <v>0</v>
      </c>
      <c r="H84" s="138">
        <f t="shared" si="38"/>
        <v>0</v>
      </c>
    </row>
    <row r="85" spans="1:26" ht="15.75" customHeight="1">
      <c r="A85" s="138" t="str">
        <f t="shared" si="19"/>
        <v>Groundnut</v>
      </c>
      <c r="B85" s="138">
        <f>H33*$B$66</f>
        <v>0</v>
      </c>
      <c r="C85" s="138">
        <f t="shared" ref="C85:H85" si="39">(B85/B$66)*C$66</f>
        <v>0</v>
      </c>
      <c r="D85" s="138">
        <f t="shared" si="39"/>
        <v>0</v>
      </c>
      <c r="E85" s="138">
        <f t="shared" si="39"/>
        <v>0</v>
      </c>
      <c r="F85" s="138">
        <f t="shared" si="39"/>
        <v>0</v>
      </c>
      <c r="G85" s="138">
        <f t="shared" si="39"/>
        <v>0</v>
      </c>
      <c r="H85" s="138">
        <f t="shared" si="39"/>
        <v>0</v>
      </c>
    </row>
    <row r="86" spans="1:26" ht="15.75" customHeight="1">
      <c r="A86" s="138">
        <f t="shared" si="19"/>
        <v>0</v>
      </c>
      <c r="B86" s="138">
        <f>H34*$B$66</f>
        <v>0</v>
      </c>
      <c r="C86" s="138">
        <f t="shared" ref="C86:H86" si="40">(B86/B$66)*C$66</f>
        <v>0</v>
      </c>
      <c r="D86" s="138">
        <f t="shared" si="40"/>
        <v>0</v>
      </c>
      <c r="E86" s="138">
        <f t="shared" si="40"/>
        <v>0</v>
      </c>
      <c r="F86" s="138">
        <f t="shared" si="40"/>
        <v>0</v>
      </c>
      <c r="G86" s="138">
        <f t="shared" si="40"/>
        <v>0</v>
      </c>
      <c r="H86" s="138">
        <f t="shared" si="40"/>
        <v>0</v>
      </c>
    </row>
    <row r="87" spans="1:26" ht="15.75" customHeight="1">
      <c r="A87" s="138">
        <f t="shared" si="19"/>
        <v>0</v>
      </c>
      <c r="B87" s="138">
        <f>H35*$B$66</f>
        <v>0</v>
      </c>
      <c r="C87" s="138">
        <f t="shared" ref="C87:H87" si="41">(B87/B$66)*C$66</f>
        <v>0</v>
      </c>
      <c r="D87" s="138">
        <f t="shared" si="41"/>
        <v>0</v>
      </c>
      <c r="E87" s="138">
        <f t="shared" si="41"/>
        <v>0</v>
      </c>
      <c r="F87" s="138">
        <f t="shared" si="41"/>
        <v>0</v>
      </c>
      <c r="G87" s="138">
        <f t="shared" si="41"/>
        <v>0</v>
      </c>
      <c r="H87" s="138">
        <f t="shared" si="41"/>
        <v>0</v>
      </c>
    </row>
    <row r="88" spans="1:26" ht="15.75" customHeight="1">
      <c r="A88" s="138">
        <f t="shared" si="19"/>
        <v>0</v>
      </c>
      <c r="B88" s="138">
        <f>H36*$B$66</f>
        <v>0</v>
      </c>
      <c r="C88" s="138">
        <f t="shared" ref="C88:H88" si="42">(B88/B$66)*C$66</f>
        <v>0</v>
      </c>
      <c r="D88" s="138">
        <f t="shared" si="42"/>
        <v>0</v>
      </c>
      <c r="E88" s="138">
        <f t="shared" si="42"/>
        <v>0</v>
      </c>
      <c r="F88" s="138">
        <f t="shared" si="42"/>
        <v>0</v>
      </c>
      <c r="G88" s="138">
        <f t="shared" si="42"/>
        <v>0</v>
      </c>
      <c r="H88" s="138">
        <f t="shared" si="42"/>
        <v>0</v>
      </c>
    </row>
    <row r="89" spans="1:26" ht="15.75" customHeight="1">
      <c r="B89" s="82"/>
      <c r="C89" s="82"/>
      <c r="D89" s="82"/>
      <c r="E89" s="82"/>
      <c r="F89" s="82"/>
      <c r="G89" s="82"/>
      <c r="H89" s="82"/>
      <c r="I89" s="82"/>
    </row>
    <row r="90" spans="1:26" ht="15.75" customHeight="1">
      <c r="A90" s="403" t="s">
        <v>538</v>
      </c>
      <c r="B90" s="339"/>
      <c r="C90" s="339"/>
      <c r="D90" s="339"/>
      <c r="E90" s="339"/>
      <c r="F90" s="339"/>
      <c r="G90" s="339"/>
      <c r="H90" s="340"/>
    </row>
    <row r="91" spans="1:26" ht="15.75" customHeight="1">
      <c r="A91" s="402" t="s">
        <v>149</v>
      </c>
      <c r="B91" s="261">
        <v>0.65</v>
      </c>
      <c r="C91" s="262">
        <f t="shared" ref="C91:H91" si="43">B91+0.05</f>
        <v>0.70000000000000007</v>
      </c>
      <c r="D91" s="262">
        <f t="shared" si="43"/>
        <v>0.75000000000000011</v>
      </c>
      <c r="E91" s="262">
        <f t="shared" si="43"/>
        <v>0.80000000000000016</v>
      </c>
      <c r="F91" s="262">
        <f t="shared" si="43"/>
        <v>0.8500000000000002</v>
      </c>
      <c r="G91" s="262">
        <f t="shared" si="43"/>
        <v>0.90000000000000024</v>
      </c>
      <c r="H91" s="262">
        <f t="shared" si="43"/>
        <v>0.95000000000000029</v>
      </c>
    </row>
    <row r="92" spans="1:26" ht="15.75" customHeight="1">
      <c r="A92" s="345"/>
      <c r="B92" s="243" t="s">
        <v>152</v>
      </c>
      <c r="C92" s="243" t="s">
        <v>153</v>
      </c>
      <c r="D92" s="243" t="s">
        <v>154</v>
      </c>
      <c r="E92" s="243" t="s">
        <v>155</v>
      </c>
      <c r="F92" s="243" t="s">
        <v>156</v>
      </c>
      <c r="G92" s="243" t="s">
        <v>157</v>
      </c>
      <c r="H92" s="243" t="s">
        <v>158</v>
      </c>
    </row>
    <row r="93" spans="1:26" ht="15.75" customHeight="1">
      <c r="A93" s="138" t="str">
        <f t="shared" ref="A93:A113" si="44">A68</f>
        <v>Soybean</v>
      </c>
      <c r="B93" s="138">
        <f t="shared" ref="B93:B101" si="45">D14*$B$91</f>
        <v>0</v>
      </c>
      <c r="C93" s="138">
        <f t="shared" ref="C93:H93" si="46">(B93/B$91)*C$91</f>
        <v>0</v>
      </c>
      <c r="D93" s="138">
        <f t="shared" si="46"/>
        <v>0</v>
      </c>
      <c r="E93" s="138">
        <f t="shared" si="46"/>
        <v>0</v>
      </c>
      <c r="F93" s="138">
        <f t="shared" si="46"/>
        <v>0</v>
      </c>
      <c r="G93" s="138">
        <f t="shared" si="46"/>
        <v>0</v>
      </c>
      <c r="H93" s="138">
        <f t="shared" si="46"/>
        <v>0</v>
      </c>
      <c r="I93" s="82"/>
      <c r="J93" s="82"/>
      <c r="K93" s="82"/>
      <c r="L93" s="82"/>
      <c r="M93" s="82"/>
      <c r="N93" s="82"/>
      <c r="O93" s="82"/>
      <c r="P93" s="82"/>
      <c r="Q93" s="82"/>
      <c r="R93" s="82"/>
      <c r="S93" s="82"/>
      <c r="T93" s="82"/>
      <c r="U93" s="82"/>
      <c r="V93" s="82"/>
      <c r="W93" s="82"/>
      <c r="X93" s="82"/>
      <c r="Y93" s="82"/>
      <c r="Z93" s="82"/>
    </row>
    <row r="94" spans="1:26" ht="15.75" customHeight="1">
      <c r="A94" s="138" t="str">
        <f t="shared" si="44"/>
        <v>Red Gram/Tur</v>
      </c>
      <c r="B94" s="138">
        <f t="shared" si="45"/>
        <v>0</v>
      </c>
      <c r="C94" s="138">
        <f t="shared" ref="C94:C114" si="47">(B94/B$91)*C$91</f>
        <v>0</v>
      </c>
      <c r="D94" s="138">
        <f t="shared" ref="D94:H94" si="48">(C94/C91)*D91</f>
        <v>0</v>
      </c>
      <c r="E94" s="138">
        <f t="shared" si="48"/>
        <v>0</v>
      </c>
      <c r="F94" s="138">
        <f t="shared" si="48"/>
        <v>0</v>
      </c>
      <c r="G94" s="138">
        <f t="shared" si="48"/>
        <v>0</v>
      </c>
      <c r="H94" s="138">
        <f t="shared" si="48"/>
        <v>0</v>
      </c>
    </row>
    <row r="95" spans="1:26" ht="15.75" customHeight="1">
      <c r="A95" s="138" t="str">
        <f t="shared" si="44"/>
        <v>Turmeric</v>
      </c>
      <c r="B95" s="138">
        <f t="shared" si="45"/>
        <v>195</v>
      </c>
      <c r="C95" s="138">
        <f t="shared" si="47"/>
        <v>210.00000000000003</v>
      </c>
      <c r="D95" s="138">
        <f t="shared" ref="D95:H95" si="49">(C95/C$91)*D$91</f>
        <v>225.00000000000003</v>
      </c>
      <c r="E95" s="138">
        <f t="shared" si="49"/>
        <v>240.00000000000006</v>
      </c>
      <c r="F95" s="138">
        <f t="shared" si="49"/>
        <v>255.00000000000006</v>
      </c>
      <c r="G95" s="138">
        <f t="shared" si="49"/>
        <v>270.00000000000006</v>
      </c>
      <c r="H95" s="138">
        <f t="shared" si="49"/>
        <v>285.00000000000011</v>
      </c>
    </row>
    <row r="96" spans="1:26" ht="15.75" customHeight="1">
      <c r="A96" s="138" t="str">
        <f t="shared" si="44"/>
        <v>Green Gram/ Moong</v>
      </c>
      <c r="B96" s="138">
        <f t="shared" si="45"/>
        <v>0</v>
      </c>
      <c r="C96" s="138">
        <f t="shared" si="47"/>
        <v>0</v>
      </c>
      <c r="D96" s="138">
        <f t="shared" ref="D96:H96" si="50">(C96/C$91)*D$91</f>
        <v>0</v>
      </c>
      <c r="E96" s="138">
        <f t="shared" si="50"/>
        <v>0</v>
      </c>
      <c r="F96" s="138">
        <f t="shared" si="50"/>
        <v>0</v>
      </c>
      <c r="G96" s="138">
        <f t="shared" si="50"/>
        <v>0</v>
      </c>
      <c r="H96" s="138">
        <f t="shared" si="50"/>
        <v>0</v>
      </c>
    </row>
    <row r="97" spans="1:8" ht="15.75" customHeight="1">
      <c r="A97" s="138" t="str">
        <f t="shared" si="44"/>
        <v>Maize</v>
      </c>
      <c r="B97" s="138">
        <f t="shared" si="45"/>
        <v>0</v>
      </c>
      <c r="C97" s="138">
        <f t="shared" si="47"/>
        <v>0</v>
      </c>
      <c r="D97" s="138">
        <f t="shared" ref="D97:H97" si="51">(C97/C$91)*D$91</f>
        <v>0</v>
      </c>
      <c r="E97" s="138">
        <f t="shared" si="51"/>
        <v>0</v>
      </c>
      <c r="F97" s="138">
        <f t="shared" si="51"/>
        <v>0</v>
      </c>
      <c r="G97" s="138">
        <f t="shared" si="51"/>
        <v>0</v>
      </c>
      <c r="H97" s="138">
        <f t="shared" si="51"/>
        <v>0</v>
      </c>
    </row>
    <row r="98" spans="1:8" ht="15.75" customHeight="1">
      <c r="A98" s="138" t="str">
        <f t="shared" si="44"/>
        <v>Black Gram/Udid</v>
      </c>
      <c r="B98" s="138">
        <f t="shared" si="45"/>
        <v>0</v>
      </c>
      <c r="C98" s="138">
        <f t="shared" si="47"/>
        <v>0</v>
      </c>
      <c r="D98" s="138">
        <f t="shared" ref="D98:H98" si="52">(C98/C$91)*D$91</f>
        <v>0</v>
      </c>
      <c r="E98" s="138">
        <f t="shared" si="52"/>
        <v>0</v>
      </c>
      <c r="F98" s="138">
        <f t="shared" si="52"/>
        <v>0</v>
      </c>
      <c r="G98" s="138">
        <f t="shared" si="52"/>
        <v>0</v>
      </c>
      <c r="H98" s="138">
        <f t="shared" si="52"/>
        <v>0</v>
      </c>
    </row>
    <row r="99" spans="1:8" ht="15.75" customHeight="1">
      <c r="A99" s="138" t="str">
        <f t="shared" si="44"/>
        <v>Bajra</v>
      </c>
      <c r="B99" s="138">
        <f t="shared" si="45"/>
        <v>0</v>
      </c>
      <c r="C99" s="138">
        <f t="shared" si="47"/>
        <v>0</v>
      </c>
      <c r="D99" s="138">
        <f t="shared" ref="D99:H99" si="53">(C99/C$91)*D$91</f>
        <v>0</v>
      </c>
      <c r="E99" s="138">
        <f t="shared" si="53"/>
        <v>0</v>
      </c>
      <c r="F99" s="138">
        <f t="shared" si="53"/>
        <v>0</v>
      </c>
      <c r="G99" s="138">
        <f t="shared" si="53"/>
        <v>0</v>
      </c>
      <c r="H99" s="138">
        <f t="shared" si="53"/>
        <v>0</v>
      </c>
    </row>
    <row r="100" spans="1:8" ht="15.75" customHeight="1">
      <c r="A100" s="138" t="str">
        <f t="shared" si="44"/>
        <v>Jawar</v>
      </c>
      <c r="B100" s="138">
        <f t="shared" si="45"/>
        <v>0</v>
      </c>
      <c r="C100" s="138">
        <f t="shared" si="47"/>
        <v>0</v>
      </c>
      <c r="D100" s="138">
        <f t="shared" ref="D100:H100" si="54">(C100/C$91)*D$91</f>
        <v>0</v>
      </c>
      <c r="E100" s="138">
        <f t="shared" si="54"/>
        <v>0</v>
      </c>
      <c r="F100" s="138">
        <f t="shared" si="54"/>
        <v>0</v>
      </c>
      <c r="G100" s="138">
        <f t="shared" si="54"/>
        <v>0</v>
      </c>
      <c r="H100" s="138">
        <f t="shared" si="54"/>
        <v>0</v>
      </c>
    </row>
    <row r="101" spans="1:8" ht="15.75" customHeight="1">
      <c r="A101" s="138" t="str">
        <f t="shared" si="44"/>
        <v>Sunflower</v>
      </c>
      <c r="B101" s="138">
        <f t="shared" si="45"/>
        <v>0</v>
      </c>
      <c r="C101" s="138">
        <f t="shared" si="47"/>
        <v>0</v>
      </c>
      <c r="D101" s="138">
        <f t="shared" ref="D101:H101" si="55">(C101/C$91)*D$91</f>
        <v>0</v>
      </c>
      <c r="E101" s="138">
        <f t="shared" si="55"/>
        <v>0</v>
      </c>
      <c r="F101" s="138">
        <f t="shared" si="55"/>
        <v>0</v>
      </c>
      <c r="G101" s="138">
        <f t="shared" si="55"/>
        <v>0</v>
      </c>
      <c r="H101" s="138">
        <f t="shared" si="55"/>
        <v>0</v>
      </c>
    </row>
    <row r="102" spans="1:8" ht="15.75" customHeight="1">
      <c r="A102" s="138" t="str">
        <f t="shared" si="44"/>
        <v>Wheat</v>
      </c>
      <c r="B102" s="138">
        <f t="shared" ref="B102:B109" si="56">D24*$B$91</f>
        <v>0</v>
      </c>
      <c r="C102" s="138">
        <f t="shared" si="47"/>
        <v>0</v>
      </c>
      <c r="D102" s="138">
        <f t="shared" ref="D102:H102" si="57">(C102/C$91)*D$91</f>
        <v>0</v>
      </c>
      <c r="E102" s="138">
        <f t="shared" si="57"/>
        <v>0</v>
      </c>
      <c r="F102" s="138">
        <f t="shared" si="57"/>
        <v>0</v>
      </c>
      <c r="G102" s="138">
        <f t="shared" si="57"/>
        <v>0</v>
      </c>
      <c r="H102" s="138">
        <f t="shared" si="57"/>
        <v>0</v>
      </c>
    </row>
    <row r="103" spans="1:8" ht="15.75" customHeight="1">
      <c r="A103" s="138" t="str">
        <f t="shared" si="44"/>
        <v>Bengal Gram/Channa</v>
      </c>
      <c r="B103" s="138">
        <f t="shared" si="56"/>
        <v>0</v>
      </c>
      <c r="C103" s="138">
        <f t="shared" si="47"/>
        <v>0</v>
      </c>
      <c r="D103" s="138">
        <f t="shared" ref="D103:H103" si="58">(C103/C$91)*D$91</f>
        <v>0</v>
      </c>
      <c r="E103" s="138">
        <f t="shared" si="58"/>
        <v>0</v>
      </c>
      <c r="F103" s="138">
        <f t="shared" si="58"/>
        <v>0</v>
      </c>
      <c r="G103" s="138">
        <f t="shared" si="58"/>
        <v>0</v>
      </c>
      <c r="H103" s="138">
        <f t="shared" si="58"/>
        <v>0</v>
      </c>
    </row>
    <row r="104" spans="1:8" ht="15.75" customHeight="1">
      <c r="A104" s="138" t="str">
        <f t="shared" si="44"/>
        <v>Jawar</v>
      </c>
      <c r="B104" s="138">
        <f t="shared" si="56"/>
        <v>0</v>
      </c>
      <c r="C104" s="138">
        <f t="shared" si="47"/>
        <v>0</v>
      </c>
      <c r="D104" s="138">
        <f t="shared" ref="D104:H104" si="59">(C104/C$91)*D$91</f>
        <v>0</v>
      </c>
      <c r="E104" s="138">
        <f t="shared" si="59"/>
        <v>0</v>
      </c>
      <c r="F104" s="138">
        <f t="shared" si="59"/>
        <v>0</v>
      </c>
      <c r="G104" s="138">
        <f t="shared" si="59"/>
        <v>0</v>
      </c>
      <c r="H104" s="138">
        <f t="shared" si="59"/>
        <v>0</v>
      </c>
    </row>
    <row r="105" spans="1:8" ht="15.75" customHeight="1">
      <c r="A105" s="138" t="str">
        <f t="shared" si="44"/>
        <v>Maize</v>
      </c>
      <c r="B105" s="138">
        <f t="shared" si="56"/>
        <v>0</v>
      </c>
      <c r="C105" s="138">
        <f t="shared" si="47"/>
        <v>0</v>
      </c>
      <c r="D105" s="138">
        <f t="shared" ref="D105:H105" si="60">(C105/C$91)*D$91</f>
        <v>0</v>
      </c>
      <c r="E105" s="138">
        <f t="shared" si="60"/>
        <v>0</v>
      </c>
      <c r="F105" s="138">
        <f t="shared" si="60"/>
        <v>0</v>
      </c>
      <c r="G105" s="138">
        <f t="shared" si="60"/>
        <v>0</v>
      </c>
      <c r="H105" s="138">
        <f t="shared" si="60"/>
        <v>0</v>
      </c>
    </row>
    <row r="106" spans="1:8" ht="15.75" customHeight="1">
      <c r="A106" s="138" t="str">
        <f t="shared" si="44"/>
        <v>Safflower</v>
      </c>
      <c r="B106" s="138">
        <f t="shared" si="56"/>
        <v>0</v>
      </c>
      <c r="C106" s="138">
        <f t="shared" si="47"/>
        <v>0</v>
      </c>
      <c r="D106" s="138">
        <f t="shared" ref="D106:H106" si="61">(C106/C$91)*D$91</f>
        <v>0</v>
      </c>
      <c r="E106" s="138">
        <f t="shared" si="61"/>
        <v>0</v>
      </c>
      <c r="F106" s="138">
        <f t="shared" si="61"/>
        <v>0</v>
      </c>
      <c r="G106" s="138">
        <f t="shared" si="61"/>
        <v>0</v>
      </c>
      <c r="H106" s="138">
        <f t="shared" si="61"/>
        <v>0</v>
      </c>
    </row>
    <row r="107" spans="1:8" ht="15.75" customHeight="1">
      <c r="A107" s="138">
        <f t="shared" si="44"/>
        <v>0</v>
      </c>
      <c r="B107" s="138">
        <f t="shared" si="56"/>
        <v>0</v>
      </c>
      <c r="C107" s="138">
        <f t="shared" si="47"/>
        <v>0</v>
      </c>
      <c r="D107" s="138">
        <f t="shared" ref="D107:H107" si="62">(C107/C$91)*D$91</f>
        <v>0</v>
      </c>
      <c r="E107" s="138">
        <f t="shared" si="62"/>
        <v>0</v>
      </c>
      <c r="F107" s="138">
        <f t="shared" si="62"/>
        <v>0</v>
      </c>
      <c r="G107" s="138">
        <f t="shared" si="62"/>
        <v>0</v>
      </c>
      <c r="H107" s="138">
        <f t="shared" si="62"/>
        <v>0</v>
      </c>
    </row>
    <row r="108" spans="1:8" ht="15.75" customHeight="1">
      <c r="A108" s="138">
        <f t="shared" si="44"/>
        <v>0</v>
      </c>
      <c r="B108" s="138">
        <f t="shared" si="56"/>
        <v>0</v>
      </c>
      <c r="C108" s="138">
        <f t="shared" si="47"/>
        <v>0</v>
      </c>
      <c r="D108" s="138">
        <f t="shared" ref="D108:H108" si="63">(C108/C$91)*D$91</f>
        <v>0</v>
      </c>
      <c r="E108" s="138">
        <f t="shared" si="63"/>
        <v>0</v>
      </c>
      <c r="F108" s="138">
        <f t="shared" si="63"/>
        <v>0</v>
      </c>
      <c r="G108" s="138">
        <f t="shared" si="63"/>
        <v>0</v>
      </c>
      <c r="H108" s="138">
        <f t="shared" si="63"/>
        <v>0</v>
      </c>
    </row>
    <row r="109" spans="1:8" ht="15.75" customHeight="1">
      <c r="A109" s="138">
        <f t="shared" si="44"/>
        <v>0</v>
      </c>
      <c r="B109" s="138">
        <f t="shared" si="56"/>
        <v>0</v>
      </c>
      <c r="C109" s="138">
        <f t="shared" si="47"/>
        <v>0</v>
      </c>
      <c r="D109" s="138">
        <f t="shared" ref="D109:H109" si="64">(C109/C$91)*D$91</f>
        <v>0</v>
      </c>
      <c r="E109" s="138">
        <f t="shared" si="64"/>
        <v>0</v>
      </c>
      <c r="F109" s="138">
        <f t="shared" si="64"/>
        <v>0</v>
      </c>
      <c r="G109" s="138">
        <f t="shared" si="64"/>
        <v>0</v>
      </c>
      <c r="H109" s="138">
        <f t="shared" si="64"/>
        <v>0</v>
      </c>
    </row>
    <row r="110" spans="1:8" ht="15.75" customHeight="1">
      <c r="A110" s="138" t="str">
        <f t="shared" si="44"/>
        <v>Groundnut</v>
      </c>
      <c r="B110" s="138">
        <f>D33*$B$91</f>
        <v>0</v>
      </c>
      <c r="C110" s="138">
        <f t="shared" si="47"/>
        <v>0</v>
      </c>
      <c r="D110" s="138">
        <f t="shared" ref="D110:H110" si="65">(C110/C$91)*D$91</f>
        <v>0</v>
      </c>
      <c r="E110" s="138">
        <f t="shared" si="65"/>
        <v>0</v>
      </c>
      <c r="F110" s="138">
        <f t="shared" si="65"/>
        <v>0</v>
      </c>
      <c r="G110" s="138">
        <f t="shared" si="65"/>
        <v>0</v>
      </c>
      <c r="H110" s="138">
        <f t="shared" si="65"/>
        <v>0</v>
      </c>
    </row>
    <row r="111" spans="1:8" ht="15.75" customHeight="1">
      <c r="A111" s="138">
        <f t="shared" si="44"/>
        <v>0</v>
      </c>
      <c r="B111" s="138">
        <f>D34*$B$91</f>
        <v>0</v>
      </c>
      <c r="C111" s="138">
        <f t="shared" si="47"/>
        <v>0</v>
      </c>
      <c r="D111" s="138">
        <f t="shared" ref="D111:H111" si="66">(C111/C$91)*D$91</f>
        <v>0</v>
      </c>
      <c r="E111" s="138">
        <f t="shared" si="66"/>
        <v>0</v>
      </c>
      <c r="F111" s="138">
        <f t="shared" si="66"/>
        <v>0</v>
      </c>
      <c r="G111" s="138">
        <f t="shared" si="66"/>
        <v>0</v>
      </c>
      <c r="H111" s="138">
        <f t="shared" si="66"/>
        <v>0</v>
      </c>
    </row>
    <row r="112" spans="1:8" ht="15.75" customHeight="1">
      <c r="A112" s="138">
        <f t="shared" si="44"/>
        <v>0</v>
      </c>
      <c r="B112" s="138">
        <f>D34*$B$91</f>
        <v>0</v>
      </c>
      <c r="C112" s="138">
        <f t="shared" si="47"/>
        <v>0</v>
      </c>
      <c r="D112" s="138">
        <f t="shared" ref="D112:H112" si="67">(C112/C$91)*D$91</f>
        <v>0</v>
      </c>
      <c r="E112" s="138">
        <f t="shared" si="67"/>
        <v>0</v>
      </c>
      <c r="F112" s="138">
        <f t="shared" si="67"/>
        <v>0</v>
      </c>
      <c r="G112" s="138">
        <f t="shared" si="67"/>
        <v>0</v>
      </c>
      <c r="H112" s="138">
        <f t="shared" si="67"/>
        <v>0</v>
      </c>
    </row>
    <row r="113" spans="1:9" ht="15.75" customHeight="1">
      <c r="A113" s="138">
        <f t="shared" si="44"/>
        <v>0</v>
      </c>
      <c r="B113" s="138">
        <f>D36*$B$91</f>
        <v>0</v>
      </c>
      <c r="C113" s="138">
        <f t="shared" si="47"/>
        <v>0</v>
      </c>
      <c r="D113" s="138">
        <f t="shared" ref="D113:H113" si="68">(C113/C$91)*D$91</f>
        <v>0</v>
      </c>
      <c r="E113" s="138">
        <f t="shared" si="68"/>
        <v>0</v>
      </c>
      <c r="F113" s="138">
        <f t="shared" si="68"/>
        <v>0</v>
      </c>
      <c r="G113" s="138">
        <f t="shared" si="68"/>
        <v>0</v>
      </c>
      <c r="H113" s="138">
        <f t="shared" si="68"/>
        <v>0</v>
      </c>
    </row>
    <row r="114" spans="1:9" ht="15.75" customHeight="1">
      <c r="A114" s="138"/>
      <c r="B114" s="138">
        <f>D37*$B$91</f>
        <v>0</v>
      </c>
      <c r="C114" s="138">
        <f t="shared" si="47"/>
        <v>0</v>
      </c>
      <c r="D114" s="138">
        <f t="shared" ref="D114:H114" si="69">(C114/C$91)*D$91</f>
        <v>0</v>
      </c>
      <c r="E114" s="138">
        <f t="shared" si="69"/>
        <v>0</v>
      </c>
      <c r="F114" s="138">
        <f t="shared" si="69"/>
        <v>0</v>
      </c>
      <c r="G114" s="138">
        <f t="shared" si="69"/>
        <v>0</v>
      </c>
      <c r="H114" s="138">
        <f t="shared" si="69"/>
        <v>0</v>
      </c>
    </row>
    <row r="115" spans="1:9" ht="15.75" customHeight="1"/>
    <row r="116" spans="1:9" ht="15.75" customHeight="1">
      <c r="C116" s="157"/>
      <c r="D116" s="212"/>
      <c r="E116" s="212"/>
      <c r="F116" s="212"/>
      <c r="G116" s="212"/>
      <c r="H116" s="212"/>
      <c r="I116" s="212"/>
    </row>
    <row r="117" spans="1:9" ht="15.75" customHeight="1">
      <c r="A117" t="s">
        <v>539</v>
      </c>
      <c r="C117" s="48"/>
      <c r="D117" s="48"/>
      <c r="E117" s="48"/>
      <c r="F117" s="48"/>
      <c r="G117" s="48"/>
      <c r="H117" s="48"/>
      <c r="I117" s="48"/>
    </row>
    <row r="118" spans="1:9" ht="15.75" customHeight="1">
      <c r="A118">
        <v>1</v>
      </c>
      <c r="B118" t="s">
        <v>540</v>
      </c>
    </row>
    <row r="119" spans="1:9" ht="15.75" customHeight="1">
      <c r="A119">
        <v>2</v>
      </c>
      <c r="B119" t="s">
        <v>541</v>
      </c>
    </row>
    <row r="120" spans="1:9" ht="15.75" customHeight="1">
      <c r="A120">
        <v>3</v>
      </c>
      <c r="B120" t="s">
        <v>542</v>
      </c>
    </row>
  </sheetData>
  <mergeCells count="12">
    <mergeCell ref="A40:A41"/>
    <mergeCell ref="A65:H65"/>
    <mergeCell ref="A91:A92"/>
    <mergeCell ref="A90:H90"/>
    <mergeCell ref="A1:H1"/>
    <mergeCell ref="A3:B3"/>
    <mergeCell ref="A11:H11"/>
    <mergeCell ref="A37:H37"/>
    <mergeCell ref="A14:A22"/>
    <mergeCell ref="A39:H39"/>
    <mergeCell ref="A66:A67"/>
    <mergeCell ref="A24:A31"/>
  </mergeCells>
  <pageMargins left="0.7" right="0.7" top="0.75" bottom="0.75" header="0" footer="0"/>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workbookViewId="0">
      <selection sqref="A1:H1"/>
    </sheetView>
  </sheetViews>
  <sheetFormatPr defaultColWidth="14.44140625" defaultRowHeight="15" customHeight="1"/>
  <cols>
    <col min="1" max="1" width="44.33203125" customWidth="1"/>
    <col min="2" max="2" width="23.33203125" customWidth="1"/>
    <col min="3" max="3" width="11.5546875" customWidth="1"/>
    <col min="4" max="4" width="18.88671875" customWidth="1"/>
    <col min="5" max="5" width="15.109375" customWidth="1"/>
    <col min="6" max="7" width="15.88671875" customWidth="1"/>
    <col min="8" max="8" width="21.33203125" customWidth="1"/>
    <col min="9" max="9" width="11.44140625" customWidth="1"/>
    <col min="10" max="10" width="9.109375" customWidth="1"/>
    <col min="11" max="26" width="8.6640625" customWidth="1"/>
  </cols>
  <sheetData>
    <row r="1" spans="1:26" ht="17.399999999999999">
      <c r="A1" s="351" t="s">
        <v>543</v>
      </c>
      <c r="B1" s="335"/>
      <c r="C1" s="335"/>
      <c r="D1" s="335"/>
      <c r="E1" s="335"/>
      <c r="F1" s="335"/>
      <c r="G1" s="335"/>
      <c r="H1" s="335"/>
    </row>
    <row r="2" spans="1:26" ht="14.4">
      <c r="B2" s="157"/>
    </row>
    <row r="3" spans="1:26" ht="17.399999999999999">
      <c r="A3" s="404" t="s">
        <v>544</v>
      </c>
      <c r="B3" s="337"/>
    </row>
    <row r="4" spans="1:26" ht="14.4">
      <c r="A4" s="242" t="s">
        <v>149</v>
      </c>
      <c r="B4" s="243" t="s">
        <v>160</v>
      </c>
      <c r="C4" s="244"/>
      <c r="D4" s="244"/>
      <c r="E4" s="244"/>
      <c r="F4" s="244"/>
      <c r="G4" s="244"/>
      <c r="H4" s="244"/>
    </row>
    <row r="5" spans="1:26" ht="14.4">
      <c r="A5" s="138" t="s">
        <v>545</v>
      </c>
      <c r="B5" s="245"/>
      <c r="C5" s="82"/>
      <c r="D5" s="246"/>
      <c r="E5" s="246"/>
      <c r="F5" s="246"/>
      <c r="G5" s="246"/>
      <c r="H5" s="246"/>
    </row>
    <row r="6" spans="1:26" ht="14.4">
      <c r="A6" s="138" t="s">
        <v>546</v>
      </c>
      <c r="B6" s="245"/>
      <c r="C6" s="82"/>
      <c r="D6" s="246"/>
      <c r="E6" s="246"/>
      <c r="F6" s="246"/>
      <c r="G6" s="246"/>
      <c r="H6" s="246"/>
    </row>
    <row r="7" spans="1:26" ht="14.4">
      <c r="A7" s="247" t="s">
        <v>88</v>
      </c>
      <c r="B7" s="247">
        <f>B5+B6</f>
        <v>0</v>
      </c>
      <c r="C7" s="162"/>
      <c r="D7" s="248"/>
      <c r="E7" s="248"/>
      <c r="F7" s="248"/>
      <c r="G7" s="248"/>
      <c r="H7" s="248"/>
    </row>
    <row r="8" spans="1:26" ht="14.4">
      <c r="A8" s="247" t="s">
        <v>547</v>
      </c>
      <c r="B8" s="249">
        <v>1</v>
      </c>
      <c r="C8" s="162"/>
      <c r="D8" s="162"/>
      <c r="E8" s="162"/>
      <c r="F8" s="162"/>
      <c r="G8" s="162"/>
      <c r="H8" s="162"/>
    </row>
    <row r="9" spans="1:26" ht="14.4">
      <c r="A9" s="247" t="s">
        <v>548</v>
      </c>
      <c r="B9" s="247">
        <f>B7*B8</f>
        <v>0</v>
      </c>
      <c r="C9" s="248"/>
      <c r="D9" s="248"/>
      <c r="E9" s="248"/>
      <c r="F9" s="248"/>
      <c r="G9" s="248"/>
      <c r="H9" s="248"/>
    </row>
    <row r="10" spans="1:26" ht="14.4">
      <c r="J10" t="s">
        <v>506</v>
      </c>
      <c r="O10" t="s">
        <v>322</v>
      </c>
      <c r="U10" t="s">
        <v>16</v>
      </c>
      <c r="Y10" t="s">
        <v>507</v>
      </c>
      <c r="Z10" t="s">
        <v>508</v>
      </c>
    </row>
    <row r="11" spans="1:26" ht="17.399999999999999">
      <c r="A11" s="351" t="s">
        <v>549</v>
      </c>
      <c r="B11" s="335"/>
      <c r="C11" s="335"/>
      <c r="D11" s="335"/>
      <c r="E11" s="335"/>
      <c r="F11" s="335"/>
      <c r="G11" s="335"/>
      <c r="H11" s="335"/>
      <c r="I11" s="162"/>
      <c r="J11" s="162"/>
      <c r="K11" s="162"/>
      <c r="L11" s="162"/>
      <c r="M11" s="162"/>
      <c r="N11" s="162"/>
      <c r="O11" s="162"/>
      <c r="P11" s="162"/>
    </row>
    <row r="12" spans="1:26" ht="14.4">
      <c r="J12" s="157">
        <v>0.65</v>
      </c>
      <c r="K12" s="250">
        <f t="shared" ref="K12:N12" si="0">J12+0.05</f>
        <v>0.70000000000000007</v>
      </c>
      <c r="L12" s="250">
        <f t="shared" si="0"/>
        <v>0.75000000000000011</v>
      </c>
      <c r="M12" s="250">
        <f t="shared" si="0"/>
        <v>0.80000000000000016</v>
      </c>
      <c r="N12" s="250">
        <f t="shared" si="0"/>
        <v>0.8500000000000002</v>
      </c>
      <c r="O12" s="157">
        <v>0.4</v>
      </c>
      <c r="P12" s="157">
        <f t="shared" ref="P12:T12" si="1">O12+0.05</f>
        <v>0.45</v>
      </c>
      <c r="Q12" s="157">
        <f t="shared" si="1"/>
        <v>0.5</v>
      </c>
      <c r="R12" s="157">
        <f t="shared" si="1"/>
        <v>0.55000000000000004</v>
      </c>
      <c r="S12" s="157">
        <f t="shared" si="1"/>
        <v>0.60000000000000009</v>
      </c>
      <c r="T12" s="157">
        <f t="shared" si="1"/>
        <v>0.65000000000000013</v>
      </c>
      <c r="U12" s="157">
        <v>0.1</v>
      </c>
      <c r="V12" s="212">
        <f t="shared" ref="V12:X12" si="2">U12+0.05</f>
        <v>0.15000000000000002</v>
      </c>
      <c r="W12" s="212">
        <f t="shared" si="2"/>
        <v>0.2</v>
      </c>
      <c r="X12" s="212">
        <f t="shared" si="2"/>
        <v>0.25</v>
      </c>
    </row>
    <row r="13" spans="1:26" ht="28.8">
      <c r="A13" s="242" t="s">
        <v>510</v>
      </c>
      <c r="B13" s="242" t="s">
        <v>511</v>
      </c>
      <c r="C13" s="251" t="s">
        <v>512</v>
      </c>
      <c r="D13" s="251" t="s">
        <v>513</v>
      </c>
      <c r="E13" s="251" t="s">
        <v>514</v>
      </c>
      <c r="F13" s="251" t="s">
        <v>515</v>
      </c>
      <c r="G13" s="251" t="s">
        <v>516</v>
      </c>
      <c r="H13" s="251" t="s">
        <v>517</v>
      </c>
      <c r="O13" s="252" t="s">
        <v>152</v>
      </c>
      <c r="P13" s="252" t="s">
        <v>153</v>
      </c>
      <c r="Q13" s="252" t="s">
        <v>154</v>
      </c>
      <c r="R13" s="252" t="s">
        <v>155</v>
      </c>
      <c r="S13" s="252" t="s">
        <v>156</v>
      </c>
      <c r="T13" s="252" t="s">
        <v>152</v>
      </c>
      <c r="U13" s="252" t="s">
        <v>153</v>
      </c>
      <c r="V13" s="252" t="s">
        <v>154</v>
      </c>
      <c r="W13" s="252" t="s">
        <v>155</v>
      </c>
      <c r="X13" s="252" t="s">
        <v>156</v>
      </c>
    </row>
    <row r="14" spans="1:26" ht="14.4">
      <c r="A14" s="406" t="s">
        <v>518</v>
      </c>
      <c r="B14" s="245" t="s">
        <v>550</v>
      </c>
      <c r="C14" s="253">
        <v>0</v>
      </c>
      <c r="D14" s="138">
        <f t="shared" ref="D14:D22" si="3">$B$9*C14</f>
        <v>0</v>
      </c>
      <c r="E14" s="254">
        <v>15</v>
      </c>
      <c r="F14" s="138">
        <f t="shared" ref="F14:F22" si="4">D14*E14</f>
        <v>0</v>
      </c>
      <c r="G14" s="255">
        <v>0.1</v>
      </c>
      <c r="H14" s="138">
        <f t="shared" ref="H14:H22" si="5">(F14-F14*G14)</f>
        <v>0</v>
      </c>
      <c r="J14">
        <f t="shared" ref="J14:N14" si="6">$D$14*J12</f>
        <v>0</v>
      </c>
      <c r="K14">
        <f t="shared" si="6"/>
        <v>0</v>
      </c>
      <c r="L14">
        <f t="shared" si="6"/>
        <v>0</v>
      </c>
      <c r="M14">
        <f t="shared" si="6"/>
        <v>0</v>
      </c>
      <c r="N14">
        <f t="shared" si="6"/>
        <v>0</v>
      </c>
    </row>
    <row r="15" spans="1:26" ht="14.4">
      <c r="A15" s="344"/>
      <c r="B15" s="245" t="s">
        <v>551</v>
      </c>
      <c r="C15" s="253">
        <v>0</v>
      </c>
      <c r="D15" s="138">
        <f t="shared" si="3"/>
        <v>0</v>
      </c>
      <c r="E15" s="254">
        <v>7</v>
      </c>
      <c r="F15" s="138">
        <f t="shared" si="4"/>
        <v>0</v>
      </c>
      <c r="G15" s="255">
        <v>0.05</v>
      </c>
      <c r="H15" s="138">
        <f t="shared" si="5"/>
        <v>0</v>
      </c>
    </row>
    <row r="16" spans="1:26" ht="14.4">
      <c r="A16" s="344"/>
      <c r="B16" s="245" t="s">
        <v>552</v>
      </c>
      <c r="C16" s="253">
        <v>0</v>
      </c>
      <c r="D16" s="138">
        <f t="shared" si="3"/>
        <v>0</v>
      </c>
      <c r="E16" s="254">
        <v>4</v>
      </c>
      <c r="F16" s="138">
        <f t="shared" si="4"/>
        <v>0</v>
      </c>
      <c r="G16" s="255">
        <v>0</v>
      </c>
      <c r="H16" s="138">
        <f t="shared" si="5"/>
        <v>0</v>
      </c>
    </row>
    <row r="17" spans="1:8" ht="14.4">
      <c r="A17" s="344"/>
      <c r="B17" s="245" t="s">
        <v>553</v>
      </c>
      <c r="C17" s="253">
        <v>0</v>
      </c>
      <c r="D17" s="138">
        <f t="shared" si="3"/>
        <v>0</v>
      </c>
      <c r="E17" s="254">
        <v>7</v>
      </c>
      <c r="F17" s="138">
        <f t="shared" si="4"/>
        <v>0</v>
      </c>
      <c r="G17" s="255">
        <v>0.02</v>
      </c>
      <c r="H17" s="138">
        <f t="shared" si="5"/>
        <v>0</v>
      </c>
    </row>
    <row r="18" spans="1:8" ht="14.4">
      <c r="A18" s="344"/>
      <c r="B18" s="245" t="s">
        <v>554</v>
      </c>
      <c r="C18" s="253">
        <v>0</v>
      </c>
      <c r="D18" s="138">
        <f t="shared" si="3"/>
        <v>0</v>
      </c>
      <c r="E18" s="254">
        <v>20</v>
      </c>
      <c r="F18" s="138">
        <f t="shared" si="4"/>
        <v>0</v>
      </c>
      <c r="G18" s="255">
        <v>0</v>
      </c>
      <c r="H18" s="138">
        <f t="shared" si="5"/>
        <v>0</v>
      </c>
    </row>
    <row r="19" spans="1:8" ht="14.4">
      <c r="A19" s="344"/>
      <c r="B19" s="245"/>
      <c r="C19" s="253">
        <v>0</v>
      </c>
      <c r="D19" s="138">
        <f t="shared" si="3"/>
        <v>0</v>
      </c>
      <c r="E19" s="254">
        <v>7</v>
      </c>
      <c r="F19" s="138">
        <f t="shared" si="4"/>
        <v>0</v>
      </c>
      <c r="G19" s="255">
        <v>0.1</v>
      </c>
      <c r="H19" s="138">
        <f t="shared" si="5"/>
        <v>0</v>
      </c>
    </row>
    <row r="20" spans="1:8" ht="14.4">
      <c r="A20" s="344"/>
      <c r="B20" s="245"/>
      <c r="C20" s="253">
        <v>0</v>
      </c>
      <c r="D20" s="138">
        <f t="shared" si="3"/>
        <v>0</v>
      </c>
      <c r="E20" s="254">
        <v>6</v>
      </c>
      <c r="F20" s="138">
        <f t="shared" si="4"/>
        <v>0</v>
      </c>
      <c r="G20" s="255">
        <v>0.02</v>
      </c>
      <c r="H20" s="138">
        <f t="shared" si="5"/>
        <v>0</v>
      </c>
    </row>
    <row r="21" spans="1:8" ht="15.75" customHeight="1">
      <c r="A21" s="344"/>
      <c r="B21" s="245"/>
      <c r="C21" s="253">
        <v>0</v>
      </c>
      <c r="D21" s="138">
        <f t="shared" si="3"/>
        <v>0</v>
      </c>
      <c r="E21" s="254"/>
      <c r="F21" s="138">
        <f t="shared" si="4"/>
        <v>0</v>
      </c>
      <c r="G21" s="255">
        <v>0</v>
      </c>
      <c r="H21" s="138">
        <f t="shared" si="5"/>
        <v>0</v>
      </c>
    </row>
    <row r="22" spans="1:8" ht="15.75" customHeight="1">
      <c r="A22" s="345"/>
      <c r="B22" s="245"/>
      <c r="C22" s="253">
        <v>0</v>
      </c>
      <c r="D22" s="138">
        <f t="shared" si="3"/>
        <v>0</v>
      </c>
      <c r="E22" s="254"/>
      <c r="F22" s="138">
        <f t="shared" si="4"/>
        <v>0</v>
      </c>
      <c r="G22" s="255">
        <v>0</v>
      </c>
      <c r="H22" s="138">
        <f t="shared" si="5"/>
        <v>0</v>
      </c>
    </row>
    <row r="23" spans="1:8" ht="15.75" customHeight="1">
      <c r="A23" s="263" t="s">
        <v>555</v>
      </c>
      <c r="B23" s="253"/>
      <c r="C23" s="245">
        <f>B9*B23</f>
        <v>0</v>
      </c>
      <c r="D23" s="138"/>
      <c r="E23" s="254"/>
      <c r="F23" s="138"/>
      <c r="G23" s="255"/>
      <c r="H23" s="138"/>
    </row>
    <row r="24" spans="1:8" ht="15.75" customHeight="1">
      <c r="A24" s="406" t="s">
        <v>528</v>
      </c>
      <c r="B24" s="245" t="s">
        <v>550</v>
      </c>
      <c r="C24" s="253">
        <v>0</v>
      </c>
      <c r="D24" s="138">
        <f t="shared" ref="D24:D31" si="7">C$23*C24</f>
        <v>0</v>
      </c>
      <c r="E24" s="254">
        <v>10</v>
      </c>
      <c r="F24" s="138">
        <f t="shared" ref="F24:F31" si="8">D24*E24</f>
        <v>0</v>
      </c>
      <c r="G24" s="255">
        <v>0.1</v>
      </c>
      <c r="H24" s="138">
        <f t="shared" ref="H24:H31" si="9">(F24-F24*G24)</f>
        <v>0</v>
      </c>
    </row>
    <row r="25" spans="1:8" ht="15.75" customHeight="1">
      <c r="A25" s="344"/>
      <c r="B25" s="245" t="s">
        <v>551</v>
      </c>
      <c r="C25" s="253">
        <v>0</v>
      </c>
      <c r="D25" s="138">
        <f t="shared" si="7"/>
        <v>0</v>
      </c>
      <c r="E25" s="254">
        <v>10</v>
      </c>
      <c r="F25" s="138">
        <f t="shared" si="8"/>
        <v>0</v>
      </c>
      <c r="G25" s="255">
        <v>0.1</v>
      </c>
      <c r="H25" s="138">
        <f t="shared" si="9"/>
        <v>0</v>
      </c>
    </row>
    <row r="26" spans="1:8" ht="15.75" customHeight="1">
      <c r="A26" s="344"/>
      <c r="B26" s="245" t="s">
        <v>552</v>
      </c>
      <c r="C26" s="253">
        <v>0</v>
      </c>
      <c r="D26" s="138">
        <f t="shared" si="7"/>
        <v>0</v>
      </c>
      <c r="E26" s="254">
        <v>10</v>
      </c>
      <c r="F26" s="138">
        <f t="shared" si="8"/>
        <v>0</v>
      </c>
      <c r="G26" s="255">
        <v>0.05</v>
      </c>
      <c r="H26" s="138">
        <f t="shared" si="9"/>
        <v>0</v>
      </c>
    </row>
    <row r="27" spans="1:8" ht="15.75" customHeight="1">
      <c r="A27" s="344"/>
      <c r="B27" s="245" t="s">
        <v>553</v>
      </c>
      <c r="C27" s="253">
        <v>0</v>
      </c>
      <c r="D27" s="138">
        <f t="shared" si="7"/>
        <v>0</v>
      </c>
      <c r="E27" s="254">
        <v>20</v>
      </c>
      <c r="F27" s="138">
        <f t="shared" si="8"/>
        <v>0</v>
      </c>
      <c r="G27" s="255">
        <v>0</v>
      </c>
      <c r="H27" s="138">
        <f t="shared" si="9"/>
        <v>0</v>
      </c>
    </row>
    <row r="28" spans="1:8" ht="15.75" customHeight="1">
      <c r="A28" s="344"/>
      <c r="B28" s="245" t="s">
        <v>556</v>
      </c>
      <c r="C28" s="253">
        <v>0</v>
      </c>
      <c r="D28" s="138">
        <f t="shared" si="7"/>
        <v>0</v>
      </c>
      <c r="E28" s="254"/>
      <c r="F28" s="138">
        <f t="shared" si="8"/>
        <v>0</v>
      </c>
      <c r="G28" s="255">
        <v>0</v>
      </c>
      <c r="H28" s="138">
        <f t="shared" si="9"/>
        <v>0</v>
      </c>
    </row>
    <row r="29" spans="1:8" ht="15.75" customHeight="1">
      <c r="A29" s="344"/>
      <c r="B29" s="245"/>
      <c r="C29" s="253">
        <v>0</v>
      </c>
      <c r="D29" s="138">
        <f t="shared" si="7"/>
        <v>0</v>
      </c>
      <c r="E29" s="254"/>
      <c r="F29" s="138">
        <f t="shared" si="8"/>
        <v>0</v>
      </c>
      <c r="G29" s="255">
        <v>0</v>
      </c>
      <c r="H29" s="138">
        <f t="shared" si="9"/>
        <v>0</v>
      </c>
    </row>
    <row r="30" spans="1:8" ht="15.75" customHeight="1">
      <c r="A30" s="344"/>
      <c r="B30" s="245"/>
      <c r="C30" s="253">
        <v>0</v>
      </c>
      <c r="D30" s="138">
        <f t="shared" si="7"/>
        <v>0</v>
      </c>
      <c r="E30" s="254"/>
      <c r="F30" s="138">
        <f t="shared" si="8"/>
        <v>0</v>
      </c>
      <c r="G30" s="255">
        <v>0</v>
      </c>
      <c r="H30" s="138">
        <f t="shared" si="9"/>
        <v>0</v>
      </c>
    </row>
    <row r="31" spans="1:8" ht="15.75" customHeight="1">
      <c r="A31" s="345"/>
      <c r="B31" s="245"/>
      <c r="C31" s="253">
        <v>0</v>
      </c>
      <c r="D31" s="138">
        <f t="shared" si="7"/>
        <v>0</v>
      </c>
      <c r="E31" s="254"/>
      <c r="F31" s="138">
        <f t="shared" si="8"/>
        <v>0</v>
      </c>
      <c r="G31" s="255">
        <v>0</v>
      </c>
      <c r="H31" s="138">
        <f t="shared" si="9"/>
        <v>0</v>
      </c>
    </row>
    <row r="32" spans="1:8" ht="15.75" customHeight="1">
      <c r="A32" s="263" t="s">
        <v>557</v>
      </c>
      <c r="B32" s="253"/>
      <c r="C32" s="245">
        <f>B9*B32</f>
        <v>0</v>
      </c>
      <c r="D32" s="138"/>
      <c r="E32" s="254"/>
      <c r="F32" s="138"/>
      <c r="G32" s="255"/>
      <c r="H32" s="138"/>
    </row>
    <row r="33" spans="1:8" ht="15.75" customHeight="1">
      <c r="A33" s="257" t="s">
        <v>533</v>
      </c>
      <c r="B33" s="245"/>
      <c r="C33" s="253">
        <v>0</v>
      </c>
      <c r="D33" s="138">
        <f t="shared" ref="D33:D36" si="10">C$32*C33</f>
        <v>0</v>
      </c>
      <c r="E33" s="254"/>
      <c r="F33" s="138">
        <f t="shared" ref="F33:F40" si="11">D33*E33</f>
        <v>0</v>
      </c>
      <c r="G33" s="255">
        <v>0</v>
      </c>
      <c r="H33" s="138">
        <f t="shared" ref="H33:H40" si="12">(F33-F33*G33)</f>
        <v>0</v>
      </c>
    </row>
    <row r="34" spans="1:8" ht="15.75" customHeight="1">
      <c r="A34" s="8"/>
      <c r="B34" s="245"/>
      <c r="C34" s="253">
        <v>0</v>
      </c>
      <c r="D34" s="138">
        <f t="shared" si="10"/>
        <v>0</v>
      </c>
      <c r="E34" s="254"/>
      <c r="F34" s="138">
        <f t="shared" si="11"/>
        <v>0</v>
      </c>
      <c r="G34" s="255">
        <v>0</v>
      </c>
      <c r="H34" s="138">
        <f t="shared" si="12"/>
        <v>0</v>
      </c>
    </row>
    <row r="35" spans="1:8" ht="15.75" customHeight="1">
      <c r="A35" s="8"/>
      <c r="B35" s="245"/>
      <c r="C35" s="253">
        <v>0</v>
      </c>
      <c r="D35" s="138">
        <f t="shared" si="10"/>
        <v>0</v>
      </c>
      <c r="E35" s="254"/>
      <c r="F35" s="138">
        <f t="shared" si="11"/>
        <v>0</v>
      </c>
      <c r="G35" s="255">
        <v>0</v>
      </c>
      <c r="H35" s="138">
        <f t="shared" si="12"/>
        <v>0</v>
      </c>
    </row>
    <row r="36" spans="1:8" ht="15.75" customHeight="1">
      <c r="A36" s="258"/>
      <c r="B36" s="245"/>
      <c r="C36" s="253">
        <v>0</v>
      </c>
      <c r="D36" s="138">
        <f t="shared" si="10"/>
        <v>0</v>
      </c>
      <c r="E36" s="254"/>
      <c r="F36" s="138">
        <f t="shared" si="11"/>
        <v>0</v>
      </c>
      <c r="G36" s="255">
        <v>0</v>
      </c>
      <c r="H36" s="138">
        <f t="shared" si="12"/>
        <v>0</v>
      </c>
    </row>
    <row r="37" spans="1:8" ht="15.75" customHeight="1">
      <c r="A37" s="409" t="s">
        <v>558</v>
      </c>
      <c r="B37" s="245" t="s">
        <v>327</v>
      </c>
      <c r="C37" s="253">
        <v>0</v>
      </c>
      <c r="D37" s="138">
        <f t="shared" ref="D37:D40" si="13">$B$9*C37</f>
        <v>0</v>
      </c>
      <c r="E37" s="254">
        <v>6</v>
      </c>
      <c r="F37" s="138">
        <f t="shared" si="11"/>
        <v>0</v>
      </c>
      <c r="G37" s="255">
        <v>0.05</v>
      </c>
      <c r="H37" s="138">
        <f t="shared" si="12"/>
        <v>0</v>
      </c>
    </row>
    <row r="38" spans="1:8" ht="15.75" customHeight="1">
      <c r="A38" s="344"/>
      <c r="B38" s="245" t="s">
        <v>559</v>
      </c>
      <c r="C38" s="253">
        <v>0</v>
      </c>
      <c r="D38" s="138">
        <f t="shared" si="13"/>
        <v>0</v>
      </c>
      <c r="E38" s="254"/>
      <c r="F38" s="138">
        <f t="shared" si="11"/>
        <v>0</v>
      </c>
      <c r="G38" s="255">
        <v>0</v>
      </c>
      <c r="H38" s="138">
        <f t="shared" si="12"/>
        <v>0</v>
      </c>
    </row>
    <row r="39" spans="1:8" ht="15.75" customHeight="1">
      <c r="A39" s="344"/>
      <c r="B39" s="245" t="s">
        <v>560</v>
      </c>
      <c r="C39" s="253">
        <v>0</v>
      </c>
      <c r="D39" s="138">
        <f t="shared" si="13"/>
        <v>0</v>
      </c>
      <c r="E39" s="254"/>
      <c r="F39" s="138">
        <f t="shared" si="11"/>
        <v>0</v>
      </c>
      <c r="G39" s="255">
        <v>0</v>
      </c>
      <c r="H39" s="138">
        <f t="shared" si="12"/>
        <v>0</v>
      </c>
    </row>
    <row r="40" spans="1:8" ht="15.75" customHeight="1">
      <c r="A40" s="345"/>
      <c r="B40" s="245" t="s">
        <v>561</v>
      </c>
      <c r="C40" s="253">
        <v>0</v>
      </c>
      <c r="D40" s="138">
        <f t="shared" si="13"/>
        <v>0</v>
      </c>
      <c r="E40" s="254"/>
      <c r="F40" s="138">
        <f t="shared" si="11"/>
        <v>0</v>
      </c>
      <c r="G40" s="255">
        <v>0</v>
      </c>
      <c r="H40" s="138">
        <f t="shared" si="12"/>
        <v>0</v>
      </c>
    </row>
    <row r="41" spans="1:8" ht="15.75" customHeight="1">
      <c r="A41" s="405" t="s">
        <v>535</v>
      </c>
      <c r="B41" s="335"/>
      <c r="C41" s="335"/>
      <c r="D41" s="335"/>
      <c r="E41" s="335"/>
      <c r="F41" s="335"/>
      <c r="G41" s="335"/>
      <c r="H41" s="335"/>
    </row>
    <row r="42" spans="1:8" ht="15.75" customHeight="1"/>
    <row r="43" spans="1:8" ht="15.75" customHeight="1">
      <c r="A43" s="407" t="s">
        <v>562</v>
      </c>
      <c r="B43" s="339"/>
      <c r="C43" s="339"/>
      <c r="D43" s="339"/>
      <c r="E43" s="339"/>
      <c r="F43" s="339"/>
      <c r="G43" s="339"/>
      <c r="H43" s="340"/>
    </row>
    <row r="44" spans="1:8" ht="15.75" customHeight="1">
      <c r="A44" s="410" t="s">
        <v>149</v>
      </c>
      <c r="B44" s="259">
        <v>0.35</v>
      </c>
      <c r="C44" s="259">
        <f t="shared" ref="C44:H44" si="14">B44+0.05</f>
        <v>0.39999999999999997</v>
      </c>
      <c r="D44" s="259">
        <f t="shared" si="14"/>
        <v>0.44999999999999996</v>
      </c>
      <c r="E44" s="259">
        <f t="shared" si="14"/>
        <v>0.49999999999999994</v>
      </c>
      <c r="F44" s="259">
        <f t="shared" si="14"/>
        <v>0.54999999999999993</v>
      </c>
      <c r="G44" s="259">
        <f t="shared" si="14"/>
        <v>0.6</v>
      </c>
      <c r="H44" s="259">
        <f t="shared" si="14"/>
        <v>0.65</v>
      </c>
    </row>
    <row r="45" spans="1:8" ht="15.75" customHeight="1">
      <c r="A45" s="345"/>
      <c r="B45" s="243" t="s">
        <v>152</v>
      </c>
      <c r="C45" s="243" t="s">
        <v>153</v>
      </c>
      <c r="D45" s="243" t="s">
        <v>154</v>
      </c>
      <c r="E45" s="243" t="s">
        <v>155</v>
      </c>
      <c r="F45" s="243" t="s">
        <v>156</v>
      </c>
      <c r="G45" s="243" t="s">
        <v>157</v>
      </c>
      <c r="H45" s="243" t="s">
        <v>158</v>
      </c>
    </row>
    <row r="46" spans="1:8" ht="15.75" customHeight="1">
      <c r="A46" s="138" t="str">
        <f t="shared" ref="A46:A54" si="15">B14</f>
        <v>Onion</v>
      </c>
      <c r="B46" s="138">
        <f t="shared" ref="B46:B54" si="16">H14*$B$44</f>
        <v>0</v>
      </c>
      <c r="C46" s="138">
        <f t="shared" ref="C46:H46" si="17">(B46/B$44)*C$44</f>
        <v>0</v>
      </c>
      <c r="D46" s="138">
        <f t="shared" si="17"/>
        <v>0</v>
      </c>
      <c r="E46" s="138">
        <f t="shared" si="17"/>
        <v>0</v>
      </c>
      <c r="F46" s="138">
        <f t="shared" si="17"/>
        <v>0</v>
      </c>
      <c r="G46" s="138">
        <f t="shared" si="17"/>
        <v>0</v>
      </c>
      <c r="H46" s="138">
        <f t="shared" si="17"/>
        <v>0</v>
      </c>
    </row>
    <row r="47" spans="1:8" ht="15.75" customHeight="1">
      <c r="A47" s="138" t="str">
        <f t="shared" si="15"/>
        <v>Tomato</v>
      </c>
      <c r="B47" s="138">
        <f t="shared" si="16"/>
        <v>0</v>
      </c>
      <c r="C47" s="138">
        <f t="shared" ref="C47:H47" si="18">(B47/B$44)*C$44</f>
        <v>0</v>
      </c>
      <c r="D47" s="138">
        <f t="shared" si="18"/>
        <v>0</v>
      </c>
      <c r="E47" s="138">
        <f t="shared" si="18"/>
        <v>0</v>
      </c>
      <c r="F47" s="138">
        <f t="shared" si="18"/>
        <v>0</v>
      </c>
      <c r="G47" s="138">
        <f t="shared" si="18"/>
        <v>0</v>
      </c>
      <c r="H47" s="138">
        <f t="shared" si="18"/>
        <v>0</v>
      </c>
    </row>
    <row r="48" spans="1:8" ht="15.75" customHeight="1">
      <c r="A48" s="138" t="str">
        <f t="shared" si="15"/>
        <v>Okra</v>
      </c>
      <c r="B48" s="138">
        <f t="shared" si="16"/>
        <v>0</v>
      </c>
      <c r="C48" s="138">
        <f t="shared" ref="C48:H48" si="19">(B48/B$44)*C$44</f>
        <v>0</v>
      </c>
      <c r="D48" s="138">
        <f t="shared" si="19"/>
        <v>0</v>
      </c>
      <c r="E48" s="138">
        <f t="shared" si="19"/>
        <v>0</v>
      </c>
      <c r="F48" s="138">
        <f t="shared" si="19"/>
        <v>0</v>
      </c>
      <c r="G48" s="138">
        <f t="shared" si="19"/>
        <v>0</v>
      </c>
      <c r="H48" s="138">
        <f t="shared" si="19"/>
        <v>0</v>
      </c>
    </row>
    <row r="49" spans="1:8" ht="15.75" customHeight="1">
      <c r="A49" s="138" t="str">
        <f t="shared" si="15"/>
        <v>Chilli</v>
      </c>
      <c r="B49" s="138">
        <f t="shared" si="16"/>
        <v>0</v>
      </c>
      <c r="C49" s="138">
        <f t="shared" ref="C49:H49" si="20">(B49/B$44)*C$44</f>
        <v>0</v>
      </c>
      <c r="D49" s="138">
        <f t="shared" si="20"/>
        <v>0</v>
      </c>
      <c r="E49" s="138">
        <f t="shared" si="20"/>
        <v>0</v>
      </c>
      <c r="F49" s="138">
        <f t="shared" si="20"/>
        <v>0</v>
      </c>
      <c r="G49" s="138">
        <f t="shared" si="20"/>
        <v>0</v>
      </c>
      <c r="H49" s="138">
        <f t="shared" si="20"/>
        <v>0</v>
      </c>
    </row>
    <row r="50" spans="1:8" ht="15.75" customHeight="1">
      <c r="A50" s="138" t="str">
        <f t="shared" si="15"/>
        <v>Potato</v>
      </c>
      <c r="B50" s="138">
        <f t="shared" si="16"/>
        <v>0</v>
      </c>
      <c r="C50" s="138">
        <f t="shared" ref="C50:H50" si="21">(B50/B$44)*C$44</f>
        <v>0</v>
      </c>
      <c r="D50" s="138">
        <f t="shared" si="21"/>
        <v>0</v>
      </c>
      <c r="E50" s="138">
        <f t="shared" si="21"/>
        <v>0</v>
      </c>
      <c r="F50" s="138">
        <f t="shared" si="21"/>
        <v>0</v>
      </c>
      <c r="G50" s="138">
        <f t="shared" si="21"/>
        <v>0</v>
      </c>
      <c r="H50" s="138">
        <f t="shared" si="21"/>
        <v>0</v>
      </c>
    </row>
    <row r="51" spans="1:8" ht="15.75" customHeight="1">
      <c r="A51" s="138">
        <f t="shared" si="15"/>
        <v>0</v>
      </c>
      <c r="B51" s="138">
        <f t="shared" si="16"/>
        <v>0</v>
      </c>
      <c r="C51" s="138">
        <f t="shared" ref="C51:H51" si="22">(B51/B$44)*C$44</f>
        <v>0</v>
      </c>
      <c r="D51" s="138">
        <f t="shared" si="22"/>
        <v>0</v>
      </c>
      <c r="E51" s="138">
        <f t="shared" si="22"/>
        <v>0</v>
      </c>
      <c r="F51" s="138">
        <f t="shared" si="22"/>
        <v>0</v>
      </c>
      <c r="G51" s="138">
        <f t="shared" si="22"/>
        <v>0</v>
      </c>
      <c r="H51" s="138">
        <f t="shared" si="22"/>
        <v>0</v>
      </c>
    </row>
    <row r="52" spans="1:8" ht="15.75" customHeight="1">
      <c r="A52" s="138">
        <f t="shared" si="15"/>
        <v>0</v>
      </c>
      <c r="B52" s="138">
        <f t="shared" si="16"/>
        <v>0</v>
      </c>
      <c r="C52" s="138">
        <f t="shared" ref="C52:H52" si="23">(B52/B$44)*C$44</f>
        <v>0</v>
      </c>
      <c r="D52" s="138">
        <f t="shared" si="23"/>
        <v>0</v>
      </c>
      <c r="E52" s="138">
        <f t="shared" si="23"/>
        <v>0</v>
      </c>
      <c r="F52" s="138">
        <f t="shared" si="23"/>
        <v>0</v>
      </c>
      <c r="G52" s="138">
        <f t="shared" si="23"/>
        <v>0</v>
      </c>
      <c r="H52" s="138">
        <f t="shared" si="23"/>
        <v>0</v>
      </c>
    </row>
    <row r="53" spans="1:8" ht="15.75" customHeight="1">
      <c r="A53" s="138">
        <f t="shared" si="15"/>
        <v>0</v>
      </c>
      <c r="B53" s="138">
        <f t="shared" si="16"/>
        <v>0</v>
      </c>
      <c r="C53" s="138">
        <f t="shared" ref="C53:H53" si="24">(B53/B$44)*C$44</f>
        <v>0</v>
      </c>
      <c r="D53" s="138">
        <f t="shared" si="24"/>
        <v>0</v>
      </c>
      <c r="E53" s="138">
        <f t="shared" si="24"/>
        <v>0</v>
      </c>
      <c r="F53" s="138">
        <f t="shared" si="24"/>
        <v>0</v>
      </c>
      <c r="G53" s="138">
        <f t="shared" si="24"/>
        <v>0</v>
      </c>
      <c r="H53" s="138">
        <f t="shared" si="24"/>
        <v>0</v>
      </c>
    </row>
    <row r="54" spans="1:8" ht="15.75" customHeight="1">
      <c r="A54" s="138">
        <f t="shared" si="15"/>
        <v>0</v>
      </c>
      <c r="B54" s="138">
        <f t="shared" si="16"/>
        <v>0</v>
      </c>
      <c r="C54" s="138">
        <f t="shared" ref="C54:H54" si="25">(B54/B$44)*C$44</f>
        <v>0</v>
      </c>
      <c r="D54" s="138">
        <f t="shared" si="25"/>
        <v>0</v>
      </c>
      <c r="E54" s="138">
        <f t="shared" si="25"/>
        <v>0</v>
      </c>
      <c r="F54" s="138">
        <f t="shared" si="25"/>
        <v>0</v>
      </c>
      <c r="G54" s="138">
        <f t="shared" si="25"/>
        <v>0</v>
      </c>
      <c r="H54" s="138">
        <f t="shared" si="25"/>
        <v>0</v>
      </c>
    </row>
    <row r="55" spans="1:8" ht="15.75" customHeight="1">
      <c r="A55" s="138" t="str">
        <f t="shared" ref="A55:A62" si="26">B24</f>
        <v>Onion</v>
      </c>
      <c r="B55" s="138">
        <f t="shared" ref="B55:B62" si="27">H24*$B$44</f>
        <v>0</v>
      </c>
      <c r="C55" s="138">
        <f t="shared" ref="C55:H55" si="28">(B55/B$44)*C$44</f>
        <v>0</v>
      </c>
      <c r="D55" s="138">
        <f t="shared" si="28"/>
        <v>0</v>
      </c>
      <c r="E55" s="138">
        <f t="shared" si="28"/>
        <v>0</v>
      </c>
      <c r="F55" s="138">
        <f t="shared" si="28"/>
        <v>0</v>
      </c>
      <c r="G55" s="138">
        <f t="shared" si="28"/>
        <v>0</v>
      </c>
      <c r="H55" s="138">
        <f t="shared" si="28"/>
        <v>0</v>
      </c>
    </row>
    <row r="56" spans="1:8" ht="15.75" customHeight="1">
      <c r="A56" s="138" t="str">
        <f t="shared" si="26"/>
        <v>Tomato</v>
      </c>
      <c r="B56" s="138">
        <f t="shared" si="27"/>
        <v>0</v>
      </c>
      <c r="C56" s="138">
        <f t="shared" ref="C56:H56" si="29">(B56/B$44)*C$44</f>
        <v>0</v>
      </c>
      <c r="D56" s="138">
        <f t="shared" si="29"/>
        <v>0</v>
      </c>
      <c r="E56" s="138">
        <f t="shared" si="29"/>
        <v>0</v>
      </c>
      <c r="F56" s="138">
        <f t="shared" si="29"/>
        <v>0</v>
      </c>
      <c r="G56" s="138">
        <f t="shared" si="29"/>
        <v>0</v>
      </c>
      <c r="H56" s="138">
        <f t="shared" si="29"/>
        <v>0</v>
      </c>
    </row>
    <row r="57" spans="1:8" ht="15.75" customHeight="1">
      <c r="A57" s="138" t="str">
        <f t="shared" si="26"/>
        <v>Okra</v>
      </c>
      <c r="B57" s="138">
        <f t="shared" si="27"/>
        <v>0</v>
      </c>
      <c r="C57" s="138">
        <f t="shared" ref="C57:H57" si="30">(B57/B$44)*C$44</f>
        <v>0</v>
      </c>
      <c r="D57" s="138">
        <f t="shared" si="30"/>
        <v>0</v>
      </c>
      <c r="E57" s="138">
        <f t="shared" si="30"/>
        <v>0</v>
      </c>
      <c r="F57" s="138">
        <f t="shared" si="30"/>
        <v>0</v>
      </c>
      <c r="G57" s="138">
        <f t="shared" si="30"/>
        <v>0</v>
      </c>
      <c r="H57" s="138">
        <f t="shared" si="30"/>
        <v>0</v>
      </c>
    </row>
    <row r="58" spans="1:8" ht="15.75" customHeight="1">
      <c r="A58" s="138" t="str">
        <f t="shared" si="26"/>
        <v>Chilli</v>
      </c>
      <c r="B58" s="138">
        <f t="shared" si="27"/>
        <v>0</v>
      </c>
      <c r="C58" s="138">
        <f t="shared" ref="C58:H58" si="31">(B58/B$44)*C$44</f>
        <v>0</v>
      </c>
      <c r="D58" s="138">
        <f t="shared" si="31"/>
        <v>0</v>
      </c>
      <c r="E58" s="138">
        <f t="shared" si="31"/>
        <v>0</v>
      </c>
      <c r="F58" s="138">
        <f t="shared" si="31"/>
        <v>0</v>
      </c>
      <c r="G58" s="138">
        <f t="shared" si="31"/>
        <v>0</v>
      </c>
      <c r="H58" s="138">
        <f t="shared" si="31"/>
        <v>0</v>
      </c>
    </row>
    <row r="59" spans="1:8" ht="15.75" customHeight="1">
      <c r="A59" s="138" t="str">
        <f t="shared" si="26"/>
        <v>Brinjal</v>
      </c>
      <c r="B59" s="138">
        <f t="shared" si="27"/>
        <v>0</v>
      </c>
      <c r="C59" s="138">
        <f t="shared" ref="C59:H59" si="32">(B59/B$44)*C$44</f>
        <v>0</v>
      </c>
      <c r="D59" s="138">
        <f t="shared" si="32"/>
        <v>0</v>
      </c>
      <c r="E59" s="138">
        <f t="shared" si="32"/>
        <v>0</v>
      </c>
      <c r="F59" s="138">
        <f t="shared" si="32"/>
        <v>0</v>
      </c>
      <c r="G59" s="138">
        <f t="shared" si="32"/>
        <v>0</v>
      </c>
      <c r="H59" s="138">
        <f t="shared" si="32"/>
        <v>0</v>
      </c>
    </row>
    <row r="60" spans="1:8" ht="15.75" customHeight="1">
      <c r="A60" s="138">
        <f t="shared" si="26"/>
        <v>0</v>
      </c>
      <c r="B60" s="138">
        <f t="shared" si="27"/>
        <v>0</v>
      </c>
      <c r="C60" s="138">
        <f t="shared" ref="C60:H60" si="33">(B60/B$44)*C$44</f>
        <v>0</v>
      </c>
      <c r="D60" s="138">
        <f t="shared" si="33"/>
        <v>0</v>
      </c>
      <c r="E60" s="138">
        <f t="shared" si="33"/>
        <v>0</v>
      </c>
      <c r="F60" s="138">
        <f t="shared" si="33"/>
        <v>0</v>
      </c>
      <c r="G60" s="138">
        <f t="shared" si="33"/>
        <v>0</v>
      </c>
      <c r="H60" s="138">
        <f t="shared" si="33"/>
        <v>0</v>
      </c>
    </row>
    <row r="61" spans="1:8" ht="15.75" customHeight="1">
      <c r="A61" s="138">
        <f t="shared" si="26"/>
        <v>0</v>
      </c>
      <c r="B61" s="138">
        <f t="shared" si="27"/>
        <v>0</v>
      </c>
      <c r="C61" s="138">
        <f t="shared" ref="C61:H61" si="34">(B61/B$44)*C$44</f>
        <v>0</v>
      </c>
      <c r="D61" s="138">
        <f t="shared" si="34"/>
        <v>0</v>
      </c>
      <c r="E61" s="138">
        <f t="shared" si="34"/>
        <v>0</v>
      </c>
      <c r="F61" s="138">
        <f t="shared" si="34"/>
        <v>0</v>
      </c>
      <c r="G61" s="138">
        <f t="shared" si="34"/>
        <v>0</v>
      </c>
      <c r="H61" s="138">
        <f t="shared" si="34"/>
        <v>0</v>
      </c>
    </row>
    <row r="62" spans="1:8" ht="15.75" customHeight="1">
      <c r="A62" s="138">
        <f t="shared" si="26"/>
        <v>0</v>
      </c>
      <c r="B62" s="138">
        <f t="shared" si="27"/>
        <v>0</v>
      </c>
      <c r="C62" s="138">
        <f t="shared" ref="C62:H62" si="35">(B62/B$44)*C$44</f>
        <v>0</v>
      </c>
      <c r="D62" s="138">
        <f t="shared" si="35"/>
        <v>0</v>
      </c>
      <c r="E62" s="138">
        <f t="shared" si="35"/>
        <v>0</v>
      </c>
      <c r="F62" s="138">
        <f t="shared" si="35"/>
        <v>0</v>
      </c>
      <c r="G62" s="138">
        <f t="shared" si="35"/>
        <v>0</v>
      </c>
      <c r="H62" s="138">
        <f t="shared" si="35"/>
        <v>0</v>
      </c>
    </row>
    <row r="63" spans="1:8" ht="15.75" customHeight="1">
      <c r="A63" s="138">
        <f t="shared" ref="A63:A70" si="36">B33</f>
        <v>0</v>
      </c>
      <c r="B63" s="138">
        <f t="shared" ref="B63:B70" si="37">H33*$B$44</f>
        <v>0</v>
      </c>
      <c r="C63" s="138">
        <f t="shared" ref="C63:H63" si="38">(B63/B$44)*C$44</f>
        <v>0</v>
      </c>
      <c r="D63" s="138">
        <f t="shared" si="38"/>
        <v>0</v>
      </c>
      <c r="E63" s="138">
        <f t="shared" si="38"/>
        <v>0</v>
      </c>
      <c r="F63" s="138">
        <f t="shared" si="38"/>
        <v>0</v>
      </c>
      <c r="G63" s="138">
        <f t="shared" si="38"/>
        <v>0</v>
      </c>
      <c r="H63" s="138">
        <f t="shared" si="38"/>
        <v>0</v>
      </c>
    </row>
    <row r="64" spans="1:8" ht="15.75" customHeight="1">
      <c r="A64" s="138">
        <f t="shared" si="36"/>
        <v>0</v>
      </c>
      <c r="B64" s="138">
        <f t="shared" si="37"/>
        <v>0</v>
      </c>
      <c r="C64" s="138">
        <f t="shared" ref="C64:H64" si="39">(B64/B$44)*C$44</f>
        <v>0</v>
      </c>
      <c r="D64" s="138">
        <f t="shared" si="39"/>
        <v>0</v>
      </c>
      <c r="E64" s="138">
        <f t="shared" si="39"/>
        <v>0</v>
      </c>
      <c r="F64" s="138">
        <f t="shared" si="39"/>
        <v>0</v>
      </c>
      <c r="G64" s="138">
        <f t="shared" si="39"/>
        <v>0</v>
      </c>
      <c r="H64" s="138">
        <f t="shared" si="39"/>
        <v>0</v>
      </c>
    </row>
    <row r="65" spans="1:26" ht="15.75" customHeight="1">
      <c r="A65" s="138">
        <f t="shared" si="36"/>
        <v>0</v>
      </c>
      <c r="B65" s="138">
        <f t="shared" si="37"/>
        <v>0</v>
      </c>
      <c r="C65" s="138">
        <f t="shared" ref="C65:H65" si="40">(B65/B$44)*C$44</f>
        <v>0</v>
      </c>
      <c r="D65" s="138">
        <f t="shared" si="40"/>
        <v>0</v>
      </c>
      <c r="E65" s="138">
        <f t="shared" si="40"/>
        <v>0</v>
      </c>
      <c r="F65" s="138">
        <f t="shared" si="40"/>
        <v>0</v>
      </c>
      <c r="G65" s="138">
        <f t="shared" si="40"/>
        <v>0</v>
      </c>
      <c r="H65" s="138">
        <f t="shared" si="40"/>
        <v>0</v>
      </c>
    </row>
    <row r="66" spans="1:26" ht="15.75" customHeight="1">
      <c r="A66" s="138">
        <f t="shared" si="36"/>
        <v>0</v>
      </c>
      <c r="B66" s="138">
        <f t="shared" si="37"/>
        <v>0</v>
      </c>
      <c r="C66" s="138">
        <f t="shared" ref="C66:H66" si="41">(B66/B$44)*C$44</f>
        <v>0</v>
      </c>
      <c r="D66" s="138">
        <f t="shared" si="41"/>
        <v>0</v>
      </c>
      <c r="E66" s="138">
        <f t="shared" si="41"/>
        <v>0</v>
      </c>
      <c r="F66" s="138">
        <f t="shared" si="41"/>
        <v>0</v>
      </c>
      <c r="G66" s="138">
        <f t="shared" si="41"/>
        <v>0</v>
      </c>
      <c r="H66" s="138">
        <f t="shared" si="41"/>
        <v>0</v>
      </c>
    </row>
    <row r="67" spans="1:26" ht="15.75" customHeight="1">
      <c r="A67" s="138" t="str">
        <f t="shared" si="36"/>
        <v>Pomegranate</v>
      </c>
      <c r="B67" s="138">
        <f t="shared" si="37"/>
        <v>0</v>
      </c>
      <c r="C67" s="138">
        <f t="shared" ref="C67:H67" si="42">(B67/B$44)*C$44</f>
        <v>0</v>
      </c>
      <c r="D67" s="138">
        <f t="shared" si="42"/>
        <v>0</v>
      </c>
      <c r="E67" s="138">
        <f t="shared" si="42"/>
        <v>0</v>
      </c>
      <c r="F67" s="138">
        <f t="shared" si="42"/>
        <v>0</v>
      </c>
      <c r="G67" s="138">
        <f t="shared" si="42"/>
        <v>0</v>
      </c>
      <c r="H67" s="138">
        <f t="shared" si="42"/>
        <v>0</v>
      </c>
    </row>
    <row r="68" spans="1:26" ht="15.75" customHeight="1">
      <c r="A68" s="138" t="str">
        <f t="shared" si="36"/>
        <v>Custard Apple</v>
      </c>
      <c r="B68" s="138">
        <f t="shared" si="37"/>
        <v>0</v>
      </c>
      <c r="C68" s="138">
        <f t="shared" ref="C68:H68" si="43">(B68/B$44)*C$44</f>
        <v>0</v>
      </c>
      <c r="D68" s="138">
        <f t="shared" si="43"/>
        <v>0</v>
      </c>
      <c r="E68" s="138">
        <f t="shared" si="43"/>
        <v>0</v>
      </c>
      <c r="F68" s="138">
        <f t="shared" si="43"/>
        <v>0</v>
      </c>
      <c r="G68" s="138">
        <f t="shared" si="43"/>
        <v>0</v>
      </c>
      <c r="H68" s="138">
        <f t="shared" si="43"/>
        <v>0</v>
      </c>
    </row>
    <row r="69" spans="1:26" ht="15.75" customHeight="1">
      <c r="A69" s="138" t="str">
        <f t="shared" si="36"/>
        <v>Guava</v>
      </c>
      <c r="B69" s="138">
        <f t="shared" si="37"/>
        <v>0</v>
      </c>
      <c r="C69" s="138">
        <f t="shared" ref="C69:H69" si="44">(B69/B$44)*C$44</f>
        <v>0</v>
      </c>
      <c r="D69" s="138">
        <f t="shared" si="44"/>
        <v>0</v>
      </c>
      <c r="E69" s="138">
        <f t="shared" si="44"/>
        <v>0</v>
      </c>
      <c r="F69" s="138">
        <f t="shared" si="44"/>
        <v>0</v>
      </c>
      <c r="G69" s="138">
        <f t="shared" si="44"/>
        <v>0</v>
      </c>
      <c r="H69" s="138">
        <f t="shared" si="44"/>
        <v>0</v>
      </c>
    </row>
    <row r="70" spans="1:26" ht="15.75" customHeight="1">
      <c r="A70" s="138" t="str">
        <f t="shared" si="36"/>
        <v>Citrus</v>
      </c>
      <c r="B70" s="138">
        <f t="shared" si="37"/>
        <v>0</v>
      </c>
      <c r="C70" s="138">
        <f t="shared" ref="C70:H70" si="45">(B70/B$44)*C$44</f>
        <v>0</v>
      </c>
      <c r="D70" s="138">
        <f t="shared" si="45"/>
        <v>0</v>
      </c>
      <c r="E70" s="138">
        <f t="shared" si="45"/>
        <v>0</v>
      </c>
      <c r="F70" s="138">
        <f t="shared" si="45"/>
        <v>0</v>
      </c>
      <c r="G70" s="138">
        <f t="shared" si="45"/>
        <v>0</v>
      </c>
      <c r="H70" s="138">
        <f t="shared" si="45"/>
        <v>0</v>
      </c>
    </row>
    <row r="71" spans="1:26" ht="15.75" customHeight="1">
      <c r="A71" s="401" t="s">
        <v>563</v>
      </c>
      <c r="B71" s="339"/>
      <c r="C71" s="339"/>
      <c r="D71" s="339"/>
      <c r="E71" s="339"/>
      <c r="F71" s="339"/>
      <c r="G71" s="339"/>
      <c r="H71" s="340"/>
    </row>
    <row r="72" spans="1:26" ht="15.75" customHeight="1">
      <c r="A72" s="408" t="s">
        <v>149</v>
      </c>
      <c r="B72" s="260">
        <v>0.05</v>
      </c>
      <c r="C72" s="260">
        <f t="shared" ref="C72:H72" si="46">B72+0.05</f>
        <v>0.1</v>
      </c>
      <c r="D72" s="260">
        <f t="shared" si="46"/>
        <v>0.15000000000000002</v>
      </c>
      <c r="E72" s="260">
        <f t="shared" si="46"/>
        <v>0.2</v>
      </c>
      <c r="F72" s="260">
        <f t="shared" si="46"/>
        <v>0.25</v>
      </c>
      <c r="G72" s="260">
        <f t="shared" si="46"/>
        <v>0.3</v>
      </c>
      <c r="H72" s="260">
        <f t="shared" si="46"/>
        <v>0.35</v>
      </c>
    </row>
    <row r="73" spans="1:26" ht="15.75" customHeight="1">
      <c r="A73" s="345"/>
      <c r="B73" s="243" t="s">
        <v>152</v>
      </c>
      <c r="C73" s="243" t="s">
        <v>153</v>
      </c>
      <c r="D73" s="243" t="s">
        <v>154</v>
      </c>
      <c r="E73" s="243" t="s">
        <v>155</v>
      </c>
      <c r="F73" s="243" t="s">
        <v>156</v>
      </c>
      <c r="G73" s="243" t="s">
        <v>157</v>
      </c>
      <c r="H73" s="243" t="s">
        <v>158</v>
      </c>
    </row>
    <row r="74" spans="1:26" ht="15.75" customHeight="1">
      <c r="A74" s="138" t="str">
        <f t="shared" ref="A74:A98" si="47">A46</f>
        <v>Onion</v>
      </c>
      <c r="B74" s="138">
        <f t="shared" ref="B74:H74" si="48">H14*$B$72</f>
        <v>0</v>
      </c>
      <c r="C74" s="138">
        <f t="shared" si="48"/>
        <v>0</v>
      </c>
      <c r="D74" s="138">
        <f t="shared" si="48"/>
        <v>0</v>
      </c>
      <c r="E74" s="138">
        <f t="shared" si="48"/>
        <v>0</v>
      </c>
      <c r="F74" s="138">
        <f t="shared" si="48"/>
        <v>0</v>
      </c>
      <c r="G74" s="138">
        <f t="shared" si="48"/>
        <v>0</v>
      </c>
      <c r="H74" s="138">
        <f t="shared" si="48"/>
        <v>0</v>
      </c>
      <c r="I74" s="82"/>
      <c r="J74" s="82"/>
      <c r="K74" s="82"/>
      <c r="L74" s="82"/>
      <c r="M74" s="82"/>
      <c r="N74" s="82"/>
      <c r="O74" s="82"/>
      <c r="P74" s="82"/>
      <c r="Q74" s="82"/>
      <c r="R74" s="82"/>
      <c r="S74" s="82"/>
      <c r="T74" s="82"/>
      <c r="U74" s="82"/>
      <c r="V74" s="82"/>
      <c r="W74" s="82"/>
      <c r="X74" s="82"/>
      <c r="Y74" s="82"/>
      <c r="Z74" s="82"/>
    </row>
    <row r="75" spans="1:26" ht="15.75" customHeight="1">
      <c r="A75" s="138" t="str">
        <f t="shared" si="47"/>
        <v>Tomato</v>
      </c>
      <c r="B75" s="138">
        <f>H15*$B$72*0</f>
        <v>0</v>
      </c>
      <c r="C75" s="138">
        <f t="shared" ref="C75:H75" si="49">(B75/B72)*C72</f>
        <v>0</v>
      </c>
      <c r="D75" s="138">
        <f t="shared" si="49"/>
        <v>0</v>
      </c>
      <c r="E75" s="138">
        <f t="shared" si="49"/>
        <v>0</v>
      </c>
      <c r="F75" s="138">
        <f t="shared" si="49"/>
        <v>0</v>
      </c>
      <c r="G75" s="138">
        <f t="shared" si="49"/>
        <v>0</v>
      </c>
      <c r="H75" s="138">
        <f t="shared" si="49"/>
        <v>0</v>
      </c>
    </row>
    <row r="76" spans="1:26" ht="15.75" customHeight="1">
      <c r="A76" s="138" t="str">
        <f t="shared" si="47"/>
        <v>Okra</v>
      </c>
      <c r="B76" s="138">
        <f>H16*$B$72</f>
        <v>0</v>
      </c>
      <c r="C76" s="138">
        <f t="shared" ref="C76:H76" si="50">(B76/B72)*C72</f>
        <v>0</v>
      </c>
      <c r="D76" s="138">
        <f t="shared" si="50"/>
        <v>0</v>
      </c>
      <c r="E76" s="138">
        <f t="shared" si="50"/>
        <v>0</v>
      </c>
      <c r="F76" s="138">
        <f t="shared" si="50"/>
        <v>0</v>
      </c>
      <c r="G76" s="138">
        <f t="shared" si="50"/>
        <v>0</v>
      </c>
      <c r="H76" s="138">
        <f t="shared" si="50"/>
        <v>0</v>
      </c>
    </row>
    <row r="77" spans="1:26" ht="15.75" customHeight="1">
      <c r="A77" s="138" t="str">
        <f t="shared" si="47"/>
        <v>Chilli</v>
      </c>
      <c r="B77" s="138">
        <f>H17*$B$72*0</f>
        <v>0</v>
      </c>
      <c r="C77" s="138">
        <f t="shared" ref="C77:H77" si="51">(B77/B$72)*C$72</f>
        <v>0</v>
      </c>
      <c r="D77" s="138">
        <f t="shared" si="51"/>
        <v>0</v>
      </c>
      <c r="E77" s="138">
        <f t="shared" si="51"/>
        <v>0</v>
      </c>
      <c r="F77" s="138">
        <f t="shared" si="51"/>
        <v>0</v>
      </c>
      <c r="G77" s="138">
        <f t="shared" si="51"/>
        <v>0</v>
      </c>
      <c r="H77" s="138">
        <f t="shared" si="51"/>
        <v>0</v>
      </c>
    </row>
    <row r="78" spans="1:26" ht="15.75" customHeight="1">
      <c r="A78" s="138" t="str">
        <f t="shared" si="47"/>
        <v>Potato</v>
      </c>
      <c r="B78" s="138">
        <f>H18*$B$72</f>
        <v>0</v>
      </c>
      <c r="C78" s="138">
        <f t="shared" ref="C78:H78" si="52">(B78/B$72)*C$72</f>
        <v>0</v>
      </c>
      <c r="D78" s="138">
        <f t="shared" si="52"/>
        <v>0</v>
      </c>
      <c r="E78" s="138">
        <f t="shared" si="52"/>
        <v>0</v>
      </c>
      <c r="F78" s="138">
        <f t="shared" si="52"/>
        <v>0</v>
      </c>
      <c r="G78" s="138">
        <f t="shared" si="52"/>
        <v>0</v>
      </c>
      <c r="H78" s="138">
        <f t="shared" si="52"/>
        <v>0</v>
      </c>
    </row>
    <row r="79" spans="1:26" ht="15.75" customHeight="1">
      <c r="A79" s="138">
        <f t="shared" si="47"/>
        <v>0</v>
      </c>
      <c r="B79" s="138">
        <f t="shared" ref="B79:B80" si="53">H19*$B$72*0</f>
        <v>0</v>
      </c>
      <c r="C79" s="138">
        <f t="shared" ref="C79:H79" si="54">(B79/B$72)*C$72</f>
        <v>0</v>
      </c>
      <c r="D79" s="138">
        <f t="shared" si="54"/>
        <v>0</v>
      </c>
      <c r="E79" s="138">
        <f t="shared" si="54"/>
        <v>0</v>
      </c>
      <c r="F79" s="138">
        <f t="shared" si="54"/>
        <v>0</v>
      </c>
      <c r="G79" s="138">
        <f t="shared" si="54"/>
        <v>0</v>
      </c>
      <c r="H79" s="138">
        <f t="shared" si="54"/>
        <v>0</v>
      </c>
    </row>
    <row r="80" spans="1:26" ht="15.75" customHeight="1">
      <c r="A80" s="138">
        <f t="shared" si="47"/>
        <v>0</v>
      </c>
      <c r="B80" s="138">
        <f t="shared" si="53"/>
        <v>0</v>
      </c>
      <c r="C80" s="138">
        <f t="shared" ref="C80:H80" si="55">(B80/B$72)*C$72</f>
        <v>0</v>
      </c>
      <c r="D80" s="138">
        <f t="shared" si="55"/>
        <v>0</v>
      </c>
      <c r="E80" s="138">
        <f t="shared" si="55"/>
        <v>0</v>
      </c>
      <c r="F80" s="138">
        <f t="shared" si="55"/>
        <v>0</v>
      </c>
      <c r="G80" s="138">
        <f t="shared" si="55"/>
        <v>0</v>
      </c>
      <c r="H80" s="138">
        <f t="shared" si="55"/>
        <v>0</v>
      </c>
    </row>
    <row r="81" spans="1:8" ht="15.75" customHeight="1">
      <c r="A81" s="138">
        <f t="shared" si="47"/>
        <v>0</v>
      </c>
      <c r="B81" s="138">
        <f t="shared" ref="B81:B82" si="56">H21*$B$72</f>
        <v>0</v>
      </c>
      <c r="C81" s="138">
        <f t="shared" ref="C81:H81" si="57">(B81/B$72)*C$72</f>
        <v>0</v>
      </c>
      <c r="D81" s="138">
        <f t="shared" si="57"/>
        <v>0</v>
      </c>
      <c r="E81" s="138">
        <f t="shared" si="57"/>
        <v>0</v>
      </c>
      <c r="F81" s="138">
        <f t="shared" si="57"/>
        <v>0</v>
      </c>
      <c r="G81" s="138">
        <f t="shared" si="57"/>
        <v>0</v>
      </c>
      <c r="H81" s="138">
        <f t="shared" si="57"/>
        <v>0</v>
      </c>
    </row>
    <row r="82" spans="1:8" ht="15.75" customHeight="1">
      <c r="A82" s="138">
        <f t="shared" si="47"/>
        <v>0</v>
      </c>
      <c r="B82" s="138">
        <f t="shared" si="56"/>
        <v>0</v>
      </c>
      <c r="C82" s="138">
        <f t="shared" ref="C82:H82" si="58">(B82/B$72)*C$72</f>
        <v>0</v>
      </c>
      <c r="D82" s="138">
        <f t="shared" si="58"/>
        <v>0</v>
      </c>
      <c r="E82" s="138">
        <f t="shared" si="58"/>
        <v>0</v>
      </c>
      <c r="F82" s="138">
        <f t="shared" si="58"/>
        <v>0</v>
      </c>
      <c r="G82" s="138">
        <f t="shared" si="58"/>
        <v>0</v>
      </c>
      <c r="H82" s="138">
        <f t="shared" si="58"/>
        <v>0</v>
      </c>
    </row>
    <row r="83" spans="1:8" ht="15.75" customHeight="1">
      <c r="A83" s="138" t="str">
        <f t="shared" si="47"/>
        <v>Onion</v>
      </c>
      <c r="B83" s="138">
        <f t="shared" ref="B83:B90" si="59">H24*$B$72</f>
        <v>0</v>
      </c>
      <c r="C83" s="138">
        <f t="shared" ref="C83:H83" si="60">(B83/B$72)*C$72</f>
        <v>0</v>
      </c>
      <c r="D83" s="138">
        <f t="shared" si="60"/>
        <v>0</v>
      </c>
      <c r="E83" s="138">
        <f t="shared" si="60"/>
        <v>0</v>
      </c>
      <c r="F83" s="138">
        <f t="shared" si="60"/>
        <v>0</v>
      </c>
      <c r="G83" s="138">
        <f t="shared" si="60"/>
        <v>0</v>
      </c>
      <c r="H83" s="138">
        <f t="shared" si="60"/>
        <v>0</v>
      </c>
    </row>
    <row r="84" spans="1:8" ht="15.75" customHeight="1">
      <c r="A84" s="138" t="str">
        <f t="shared" si="47"/>
        <v>Tomato</v>
      </c>
      <c r="B84" s="138">
        <f t="shared" si="59"/>
        <v>0</v>
      </c>
      <c r="C84" s="138">
        <f t="shared" ref="C84:H84" si="61">(B84/B$72)*C$72</f>
        <v>0</v>
      </c>
      <c r="D84" s="138">
        <f t="shared" si="61"/>
        <v>0</v>
      </c>
      <c r="E84" s="138">
        <f t="shared" si="61"/>
        <v>0</v>
      </c>
      <c r="F84" s="138">
        <f t="shared" si="61"/>
        <v>0</v>
      </c>
      <c r="G84" s="138">
        <f t="shared" si="61"/>
        <v>0</v>
      </c>
      <c r="H84" s="138">
        <f t="shared" si="61"/>
        <v>0</v>
      </c>
    </row>
    <row r="85" spans="1:8" ht="15.75" customHeight="1">
      <c r="A85" s="138" t="str">
        <f t="shared" si="47"/>
        <v>Okra</v>
      </c>
      <c r="B85" s="138">
        <f t="shared" si="59"/>
        <v>0</v>
      </c>
      <c r="C85" s="138">
        <f t="shared" ref="C85:H85" si="62">(B85/B$72)*C$72</f>
        <v>0</v>
      </c>
      <c r="D85" s="138">
        <f t="shared" si="62"/>
        <v>0</v>
      </c>
      <c r="E85" s="138">
        <f t="shared" si="62"/>
        <v>0</v>
      </c>
      <c r="F85" s="138">
        <f t="shared" si="62"/>
        <v>0</v>
      </c>
      <c r="G85" s="138">
        <f t="shared" si="62"/>
        <v>0</v>
      </c>
      <c r="H85" s="138">
        <f t="shared" si="62"/>
        <v>0</v>
      </c>
    </row>
    <row r="86" spans="1:8" ht="15.75" customHeight="1">
      <c r="A86" s="138" t="str">
        <f t="shared" si="47"/>
        <v>Chilli</v>
      </c>
      <c r="B86" s="138">
        <f t="shared" si="59"/>
        <v>0</v>
      </c>
      <c r="C86" s="138">
        <f t="shared" ref="C86:H86" si="63">(B86/B$72)*C$72</f>
        <v>0</v>
      </c>
      <c r="D86" s="138">
        <f t="shared" si="63"/>
        <v>0</v>
      </c>
      <c r="E86" s="138">
        <f t="shared" si="63"/>
        <v>0</v>
      </c>
      <c r="F86" s="138">
        <f t="shared" si="63"/>
        <v>0</v>
      </c>
      <c r="G86" s="138">
        <f t="shared" si="63"/>
        <v>0</v>
      </c>
      <c r="H86" s="138">
        <f t="shared" si="63"/>
        <v>0</v>
      </c>
    </row>
    <row r="87" spans="1:8" ht="15.75" customHeight="1">
      <c r="A87" s="138" t="str">
        <f t="shared" si="47"/>
        <v>Brinjal</v>
      </c>
      <c r="B87" s="138">
        <f t="shared" si="59"/>
        <v>0</v>
      </c>
      <c r="C87" s="138">
        <f t="shared" ref="C87:H87" si="64">(B87/B$72)*C$72</f>
        <v>0</v>
      </c>
      <c r="D87" s="138">
        <f t="shared" si="64"/>
        <v>0</v>
      </c>
      <c r="E87" s="138">
        <f t="shared" si="64"/>
        <v>0</v>
      </c>
      <c r="F87" s="138">
        <f t="shared" si="64"/>
        <v>0</v>
      </c>
      <c r="G87" s="138">
        <f t="shared" si="64"/>
        <v>0</v>
      </c>
      <c r="H87" s="138">
        <f t="shared" si="64"/>
        <v>0</v>
      </c>
    </row>
    <row r="88" spans="1:8" ht="15.75" customHeight="1">
      <c r="A88" s="138">
        <f t="shared" si="47"/>
        <v>0</v>
      </c>
      <c r="B88" s="138">
        <f t="shared" si="59"/>
        <v>0</v>
      </c>
      <c r="C88" s="138">
        <f t="shared" ref="C88:H88" si="65">(B88/B$72)*C$72</f>
        <v>0</v>
      </c>
      <c r="D88" s="138">
        <f t="shared" si="65"/>
        <v>0</v>
      </c>
      <c r="E88" s="138">
        <f t="shared" si="65"/>
        <v>0</v>
      </c>
      <c r="F88" s="138">
        <f t="shared" si="65"/>
        <v>0</v>
      </c>
      <c r="G88" s="138">
        <f t="shared" si="65"/>
        <v>0</v>
      </c>
      <c r="H88" s="138">
        <f t="shared" si="65"/>
        <v>0</v>
      </c>
    </row>
    <row r="89" spans="1:8" ht="15.75" customHeight="1">
      <c r="A89" s="138">
        <f t="shared" si="47"/>
        <v>0</v>
      </c>
      <c r="B89" s="138">
        <f t="shared" si="59"/>
        <v>0</v>
      </c>
      <c r="C89" s="138">
        <f t="shared" ref="C89:H89" si="66">(B89/B$72)*C$72</f>
        <v>0</v>
      </c>
      <c r="D89" s="138">
        <f t="shared" si="66"/>
        <v>0</v>
      </c>
      <c r="E89" s="138">
        <f t="shared" si="66"/>
        <v>0</v>
      </c>
      <c r="F89" s="138">
        <f t="shared" si="66"/>
        <v>0</v>
      </c>
      <c r="G89" s="138">
        <f t="shared" si="66"/>
        <v>0</v>
      </c>
      <c r="H89" s="138">
        <f t="shared" si="66"/>
        <v>0</v>
      </c>
    </row>
    <row r="90" spans="1:8" ht="15.75" customHeight="1">
      <c r="A90" s="138">
        <f t="shared" si="47"/>
        <v>0</v>
      </c>
      <c r="B90" s="138">
        <f t="shared" si="59"/>
        <v>0</v>
      </c>
      <c r="C90" s="138">
        <f t="shared" ref="C90:H90" si="67">(B90/B$72)*C$72</f>
        <v>0</v>
      </c>
      <c r="D90" s="138">
        <f t="shared" si="67"/>
        <v>0</v>
      </c>
      <c r="E90" s="138">
        <f t="shared" si="67"/>
        <v>0</v>
      </c>
      <c r="F90" s="138">
        <f t="shared" si="67"/>
        <v>0</v>
      </c>
      <c r="G90" s="138">
        <f t="shared" si="67"/>
        <v>0</v>
      </c>
      <c r="H90" s="138">
        <f t="shared" si="67"/>
        <v>0</v>
      </c>
    </row>
    <row r="91" spans="1:8" ht="15.75" customHeight="1">
      <c r="A91" s="138">
        <f t="shared" si="47"/>
        <v>0</v>
      </c>
      <c r="B91" s="138">
        <f t="shared" ref="B91:B98" si="68">H33*$B$72</f>
        <v>0</v>
      </c>
      <c r="C91" s="138">
        <f t="shared" ref="C91:H91" si="69">(B91/B$72)*C$72</f>
        <v>0</v>
      </c>
      <c r="D91" s="138">
        <f t="shared" si="69"/>
        <v>0</v>
      </c>
      <c r="E91" s="138">
        <f t="shared" si="69"/>
        <v>0</v>
      </c>
      <c r="F91" s="138">
        <f t="shared" si="69"/>
        <v>0</v>
      </c>
      <c r="G91" s="138">
        <f t="shared" si="69"/>
        <v>0</v>
      </c>
      <c r="H91" s="138">
        <f t="shared" si="69"/>
        <v>0</v>
      </c>
    </row>
    <row r="92" spans="1:8" ht="15.75" customHeight="1">
      <c r="A92" s="138">
        <f t="shared" si="47"/>
        <v>0</v>
      </c>
      <c r="B92" s="138">
        <f t="shared" si="68"/>
        <v>0</v>
      </c>
      <c r="C92" s="138">
        <f t="shared" ref="C92:G92" si="70">(B92/B$72)*C$72</f>
        <v>0</v>
      </c>
      <c r="D92" s="138">
        <f t="shared" si="70"/>
        <v>0</v>
      </c>
      <c r="E92" s="138">
        <f t="shared" si="70"/>
        <v>0</v>
      </c>
      <c r="F92" s="138">
        <f t="shared" si="70"/>
        <v>0</v>
      </c>
      <c r="G92" s="138">
        <f t="shared" si="70"/>
        <v>0</v>
      </c>
      <c r="H92" s="138"/>
    </row>
    <row r="93" spans="1:8" ht="15.75" customHeight="1">
      <c r="A93" s="138">
        <f t="shared" si="47"/>
        <v>0</v>
      </c>
      <c r="B93" s="138">
        <f t="shared" si="68"/>
        <v>0</v>
      </c>
      <c r="C93" s="138">
        <f t="shared" ref="C93:G93" si="71">(B93/B$72)*C$72</f>
        <v>0</v>
      </c>
      <c r="D93" s="138">
        <f t="shared" si="71"/>
        <v>0</v>
      </c>
      <c r="E93" s="138">
        <f t="shared" si="71"/>
        <v>0</v>
      </c>
      <c r="F93" s="138">
        <f t="shared" si="71"/>
        <v>0</v>
      </c>
      <c r="G93" s="138">
        <f t="shared" si="71"/>
        <v>0</v>
      </c>
      <c r="H93" s="138"/>
    </row>
    <row r="94" spans="1:8" ht="15.75" customHeight="1">
      <c r="A94" s="138">
        <f t="shared" si="47"/>
        <v>0</v>
      </c>
      <c r="B94" s="138">
        <f t="shared" si="68"/>
        <v>0</v>
      </c>
      <c r="C94" s="138">
        <f t="shared" ref="C94:G94" si="72">(B94/B$72)*C$72</f>
        <v>0</v>
      </c>
      <c r="D94" s="138">
        <f t="shared" si="72"/>
        <v>0</v>
      </c>
      <c r="E94" s="138">
        <f t="shared" si="72"/>
        <v>0</v>
      </c>
      <c r="F94" s="138">
        <f t="shared" si="72"/>
        <v>0</v>
      </c>
      <c r="G94" s="138">
        <f t="shared" si="72"/>
        <v>0</v>
      </c>
      <c r="H94" s="138"/>
    </row>
    <row r="95" spans="1:8" ht="15.75" customHeight="1">
      <c r="A95" s="138" t="str">
        <f t="shared" si="47"/>
        <v>Pomegranate</v>
      </c>
      <c r="B95" s="138">
        <f t="shared" si="68"/>
        <v>0</v>
      </c>
      <c r="C95" s="138">
        <f t="shared" ref="C95:H95" si="73">(B95/B$72)*C$72</f>
        <v>0</v>
      </c>
      <c r="D95" s="138">
        <f t="shared" si="73"/>
        <v>0</v>
      </c>
      <c r="E95" s="138">
        <f t="shared" si="73"/>
        <v>0</v>
      </c>
      <c r="F95" s="138">
        <f t="shared" si="73"/>
        <v>0</v>
      </c>
      <c r="G95" s="138">
        <f t="shared" si="73"/>
        <v>0</v>
      </c>
      <c r="H95" s="138">
        <f t="shared" si="73"/>
        <v>0</v>
      </c>
    </row>
    <row r="96" spans="1:8" ht="15.75" customHeight="1">
      <c r="A96" s="138" t="str">
        <f t="shared" si="47"/>
        <v>Custard Apple</v>
      </c>
      <c r="B96" s="138">
        <f t="shared" si="68"/>
        <v>0</v>
      </c>
      <c r="C96" s="138">
        <f t="shared" ref="C96:H96" si="74">(B96/B$72)*C$72</f>
        <v>0</v>
      </c>
      <c r="D96" s="138">
        <f t="shared" si="74"/>
        <v>0</v>
      </c>
      <c r="E96" s="138">
        <f t="shared" si="74"/>
        <v>0</v>
      </c>
      <c r="F96" s="138">
        <f t="shared" si="74"/>
        <v>0</v>
      </c>
      <c r="G96" s="138">
        <f t="shared" si="74"/>
        <v>0</v>
      </c>
      <c r="H96" s="138">
        <f t="shared" si="74"/>
        <v>0</v>
      </c>
    </row>
    <row r="97" spans="1:26" ht="15.75" customHeight="1">
      <c r="A97" s="138" t="str">
        <f t="shared" si="47"/>
        <v>Guava</v>
      </c>
      <c r="B97" s="138">
        <f t="shared" si="68"/>
        <v>0</v>
      </c>
      <c r="C97" s="138">
        <f t="shared" ref="C97:H97" si="75">(B97/B$72)*C$72</f>
        <v>0</v>
      </c>
      <c r="D97" s="138">
        <f t="shared" si="75"/>
        <v>0</v>
      </c>
      <c r="E97" s="138">
        <f t="shared" si="75"/>
        <v>0</v>
      </c>
      <c r="F97" s="138">
        <f t="shared" si="75"/>
        <v>0</v>
      </c>
      <c r="G97" s="138">
        <f t="shared" si="75"/>
        <v>0</v>
      </c>
      <c r="H97" s="138">
        <f t="shared" si="75"/>
        <v>0</v>
      </c>
    </row>
    <row r="98" spans="1:26" ht="15.75" customHeight="1">
      <c r="A98" s="138" t="str">
        <f t="shared" si="47"/>
        <v>Citrus</v>
      </c>
      <c r="B98" s="138">
        <f t="shared" si="68"/>
        <v>0</v>
      </c>
      <c r="C98" s="138">
        <f t="shared" ref="C98:H98" si="76">(B98/B$72)*C$72</f>
        <v>0</v>
      </c>
      <c r="D98" s="138">
        <f t="shared" si="76"/>
        <v>0</v>
      </c>
      <c r="E98" s="138">
        <f t="shared" si="76"/>
        <v>0</v>
      </c>
      <c r="F98" s="138">
        <f t="shared" si="76"/>
        <v>0</v>
      </c>
      <c r="G98" s="138">
        <f t="shared" si="76"/>
        <v>0</v>
      </c>
      <c r="H98" s="138">
        <f t="shared" si="76"/>
        <v>0</v>
      </c>
      <c r="I98" s="82"/>
    </row>
    <row r="99" spans="1:26" ht="15.75" customHeight="1">
      <c r="A99" s="401" t="s">
        <v>564</v>
      </c>
      <c r="B99" s="339"/>
      <c r="C99" s="339"/>
      <c r="D99" s="339"/>
      <c r="E99" s="339"/>
      <c r="F99" s="339"/>
      <c r="G99" s="339"/>
      <c r="H99" s="340"/>
    </row>
    <row r="100" spans="1:26" ht="15.75" customHeight="1">
      <c r="A100" s="402" t="s">
        <v>149</v>
      </c>
      <c r="B100" s="261">
        <v>0.65</v>
      </c>
      <c r="C100" s="262">
        <f t="shared" ref="C100:H100" si="77">B100+0.05</f>
        <v>0.70000000000000007</v>
      </c>
      <c r="D100" s="262">
        <f t="shared" si="77"/>
        <v>0.75000000000000011</v>
      </c>
      <c r="E100" s="262">
        <f t="shared" si="77"/>
        <v>0.80000000000000016</v>
      </c>
      <c r="F100" s="262">
        <f t="shared" si="77"/>
        <v>0.8500000000000002</v>
      </c>
      <c r="G100" s="262">
        <f t="shared" si="77"/>
        <v>0.90000000000000024</v>
      </c>
      <c r="H100" s="262">
        <f t="shared" si="77"/>
        <v>0.95000000000000029</v>
      </c>
    </row>
    <row r="101" spans="1:26" ht="15.75" customHeight="1">
      <c r="A101" s="345"/>
      <c r="B101" s="243" t="s">
        <v>152</v>
      </c>
      <c r="C101" s="243" t="s">
        <v>153</v>
      </c>
      <c r="D101" s="243" t="s">
        <v>154</v>
      </c>
      <c r="E101" s="243" t="s">
        <v>155</v>
      </c>
      <c r="F101" s="243" t="s">
        <v>156</v>
      </c>
      <c r="G101" s="243" t="s">
        <v>157</v>
      </c>
      <c r="H101" s="243" t="s">
        <v>158</v>
      </c>
    </row>
    <row r="102" spans="1:26" ht="15.75" customHeight="1">
      <c r="A102" s="138" t="str">
        <f t="shared" ref="A102:A126" si="78">A74</f>
        <v>Onion</v>
      </c>
      <c r="B102" s="138">
        <f t="shared" ref="B102:B110" si="79">D14*$B$100</f>
        <v>0</v>
      </c>
      <c r="C102" s="138">
        <f t="shared" ref="C102:H102" si="80">(B102/B$100)*C$100</f>
        <v>0</v>
      </c>
      <c r="D102" s="138">
        <f t="shared" si="80"/>
        <v>0</v>
      </c>
      <c r="E102" s="138">
        <f t="shared" si="80"/>
        <v>0</v>
      </c>
      <c r="F102" s="138">
        <f t="shared" si="80"/>
        <v>0</v>
      </c>
      <c r="G102" s="138">
        <f t="shared" si="80"/>
        <v>0</v>
      </c>
      <c r="H102" s="138">
        <f t="shared" si="80"/>
        <v>0</v>
      </c>
      <c r="I102" s="82"/>
      <c r="J102" s="82"/>
      <c r="K102" s="82"/>
      <c r="L102" s="82"/>
      <c r="M102" s="82"/>
      <c r="N102" s="82"/>
      <c r="O102" s="82"/>
      <c r="P102" s="82"/>
      <c r="Q102" s="82"/>
      <c r="R102" s="82"/>
      <c r="S102" s="82"/>
      <c r="T102" s="82"/>
      <c r="U102" s="82"/>
      <c r="V102" s="82"/>
      <c r="W102" s="82"/>
      <c r="X102" s="82"/>
      <c r="Y102" s="82"/>
      <c r="Z102" s="82"/>
    </row>
    <row r="103" spans="1:26" ht="15.75" customHeight="1">
      <c r="A103" s="138" t="str">
        <f t="shared" si="78"/>
        <v>Tomato</v>
      </c>
      <c r="B103" s="138">
        <f t="shared" si="79"/>
        <v>0</v>
      </c>
      <c r="C103" s="138">
        <f t="shared" ref="C103:C126" si="81">(B103/B$100)*C$100</f>
        <v>0</v>
      </c>
      <c r="D103" s="138">
        <f t="shared" ref="D103:H103" si="82">(C103/C100)*D100</f>
        <v>0</v>
      </c>
      <c r="E103" s="138">
        <f t="shared" si="82"/>
        <v>0</v>
      </c>
      <c r="F103" s="138">
        <f t="shared" si="82"/>
        <v>0</v>
      </c>
      <c r="G103" s="138">
        <f t="shared" si="82"/>
        <v>0</v>
      </c>
      <c r="H103" s="138">
        <f t="shared" si="82"/>
        <v>0</v>
      </c>
    </row>
    <row r="104" spans="1:26" ht="15.75" customHeight="1">
      <c r="A104" s="138" t="str">
        <f t="shared" si="78"/>
        <v>Okra</v>
      </c>
      <c r="B104" s="138">
        <f t="shared" si="79"/>
        <v>0</v>
      </c>
      <c r="C104" s="138">
        <f t="shared" si="81"/>
        <v>0</v>
      </c>
      <c r="D104" s="138">
        <f t="shared" ref="D104:H104" si="83">(C104/C$100)*D$100</f>
        <v>0</v>
      </c>
      <c r="E104" s="138">
        <f t="shared" si="83"/>
        <v>0</v>
      </c>
      <c r="F104" s="138">
        <f t="shared" si="83"/>
        <v>0</v>
      </c>
      <c r="G104" s="138">
        <f t="shared" si="83"/>
        <v>0</v>
      </c>
      <c r="H104" s="138">
        <f t="shared" si="83"/>
        <v>0</v>
      </c>
    </row>
    <row r="105" spans="1:26" ht="15.75" customHeight="1">
      <c r="A105" s="138" t="str">
        <f t="shared" si="78"/>
        <v>Chilli</v>
      </c>
      <c r="B105" s="138">
        <f t="shared" si="79"/>
        <v>0</v>
      </c>
      <c r="C105" s="138">
        <f t="shared" si="81"/>
        <v>0</v>
      </c>
      <c r="D105" s="138">
        <f t="shared" ref="D105:H105" si="84">(C105/C$100)*D$100</f>
        <v>0</v>
      </c>
      <c r="E105" s="138">
        <f t="shared" si="84"/>
        <v>0</v>
      </c>
      <c r="F105" s="138">
        <f t="shared" si="84"/>
        <v>0</v>
      </c>
      <c r="G105" s="138">
        <f t="shared" si="84"/>
        <v>0</v>
      </c>
      <c r="H105" s="138">
        <f t="shared" si="84"/>
        <v>0</v>
      </c>
    </row>
    <row r="106" spans="1:26" ht="15.75" customHeight="1">
      <c r="A106" s="138" t="str">
        <f t="shared" si="78"/>
        <v>Potato</v>
      </c>
      <c r="B106" s="138">
        <f t="shared" si="79"/>
        <v>0</v>
      </c>
      <c r="C106" s="138">
        <f t="shared" si="81"/>
        <v>0</v>
      </c>
      <c r="D106" s="138">
        <f t="shared" ref="D106:H106" si="85">(C106/C$100)*D$100</f>
        <v>0</v>
      </c>
      <c r="E106" s="138">
        <f t="shared" si="85"/>
        <v>0</v>
      </c>
      <c r="F106" s="138">
        <f t="shared" si="85"/>
        <v>0</v>
      </c>
      <c r="G106" s="138">
        <f t="shared" si="85"/>
        <v>0</v>
      </c>
      <c r="H106" s="138">
        <f t="shared" si="85"/>
        <v>0</v>
      </c>
    </row>
    <row r="107" spans="1:26" ht="15.75" customHeight="1">
      <c r="A107" s="138">
        <f t="shared" si="78"/>
        <v>0</v>
      </c>
      <c r="B107" s="138">
        <f t="shared" si="79"/>
        <v>0</v>
      </c>
      <c r="C107" s="138">
        <f t="shared" si="81"/>
        <v>0</v>
      </c>
      <c r="D107" s="138">
        <f t="shared" ref="D107:H107" si="86">(C107/C$100)*D$100</f>
        <v>0</v>
      </c>
      <c r="E107" s="138">
        <f t="shared" si="86"/>
        <v>0</v>
      </c>
      <c r="F107" s="138">
        <f t="shared" si="86"/>
        <v>0</v>
      </c>
      <c r="G107" s="138">
        <f t="shared" si="86"/>
        <v>0</v>
      </c>
      <c r="H107" s="138">
        <f t="shared" si="86"/>
        <v>0</v>
      </c>
    </row>
    <row r="108" spans="1:26" ht="15.75" customHeight="1">
      <c r="A108" s="138">
        <f t="shared" si="78"/>
        <v>0</v>
      </c>
      <c r="B108" s="138">
        <f t="shared" si="79"/>
        <v>0</v>
      </c>
      <c r="C108" s="138">
        <f t="shared" si="81"/>
        <v>0</v>
      </c>
      <c r="D108" s="138">
        <f t="shared" ref="D108:H108" si="87">(C108/C$100)*D$100</f>
        <v>0</v>
      </c>
      <c r="E108" s="138">
        <f t="shared" si="87"/>
        <v>0</v>
      </c>
      <c r="F108" s="138">
        <f t="shared" si="87"/>
        <v>0</v>
      </c>
      <c r="G108" s="138">
        <f t="shared" si="87"/>
        <v>0</v>
      </c>
      <c r="H108" s="138">
        <f t="shared" si="87"/>
        <v>0</v>
      </c>
    </row>
    <row r="109" spans="1:26" ht="15.75" customHeight="1">
      <c r="A109" s="138">
        <f t="shared" si="78"/>
        <v>0</v>
      </c>
      <c r="B109" s="138">
        <f t="shared" si="79"/>
        <v>0</v>
      </c>
      <c r="C109" s="138">
        <f t="shared" si="81"/>
        <v>0</v>
      </c>
      <c r="D109" s="138">
        <f t="shared" ref="D109:H109" si="88">(C109/C$100)*D$100</f>
        <v>0</v>
      </c>
      <c r="E109" s="138">
        <f t="shared" si="88"/>
        <v>0</v>
      </c>
      <c r="F109" s="138">
        <f t="shared" si="88"/>
        <v>0</v>
      </c>
      <c r="G109" s="138">
        <f t="shared" si="88"/>
        <v>0</v>
      </c>
      <c r="H109" s="138">
        <f t="shared" si="88"/>
        <v>0</v>
      </c>
    </row>
    <row r="110" spans="1:26" ht="15.75" customHeight="1">
      <c r="A110" s="138">
        <f t="shared" si="78"/>
        <v>0</v>
      </c>
      <c r="B110" s="138">
        <f t="shared" si="79"/>
        <v>0</v>
      </c>
      <c r="C110" s="138">
        <f t="shared" si="81"/>
        <v>0</v>
      </c>
      <c r="D110" s="138">
        <f t="shared" ref="D110:H110" si="89">(C110/C$100)*D$100</f>
        <v>0</v>
      </c>
      <c r="E110" s="138">
        <f t="shared" si="89"/>
        <v>0</v>
      </c>
      <c r="F110" s="138">
        <f t="shared" si="89"/>
        <v>0</v>
      </c>
      <c r="G110" s="138">
        <f t="shared" si="89"/>
        <v>0</v>
      </c>
      <c r="H110" s="138">
        <f t="shared" si="89"/>
        <v>0</v>
      </c>
    </row>
    <row r="111" spans="1:26" ht="15.75" customHeight="1">
      <c r="A111" s="138" t="str">
        <f t="shared" si="78"/>
        <v>Onion</v>
      </c>
      <c r="B111" s="138">
        <f t="shared" ref="B111:B118" si="90">D24*$B$100</f>
        <v>0</v>
      </c>
      <c r="C111" s="138">
        <f t="shared" si="81"/>
        <v>0</v>
      </c>
      <c r="D111" s="138">
        <f t="shared" ref="D111:H111" si="91">(C111/C$100)*D$100</f>
        <v>0</v>
      </c>
      <c r="E111" s="138">
        <f t="shared" si="91"/>
        <v>0</v>
      </c>
      <c r="F111" s="138">
        <f t="shared" si="91"/>
        <v>0</v>
      </c>
      <c r="G111" s="138">
        <f t="shared" si="91"/>
        <v>0</v>
      </c>
      <c r="H111" s="138">
        <f t="shared" si="91"/>
        <v>0</v>
      </c>
    </row>
    <row r="112" spans="1:26" ht="15.75" customHeight="1">
      <c r="A112" s="138" t="str">
        <f t="shared" si="78"/>
        <v>Tomato</v>
      </c>
      <c r="B112" s="138">
        <f t="shared" si="90"/>
        <v>0</v>
      </c>
      <c r="C112" s="138">
        <f t="shared" si="81"/>
        <v>0</v>
      </c>
      <c r="D112" s="138">
        <f t="shared" ref="D112:H112" si="92">(C112/C$100)*D$100</f>
        <v>0</v>
      </c>
      <c r="E112" s="138">
        <f t="shared" si="92"/>
        <v>0</v>
      </c>
      <c r="F112" s="138">
        <f t="shared" si="92"/>
        <v>0</v>
      </c>
      <c r="G112" s="138">
        <f t="shared" si="92"/>
        <v>0</v>
      </c>
      <c r="H112" s="138">
        <f t="shared" si="92"/>
        <v>0</v>
      </c>
    </row>
    <row r="113" spans="1:9" ht="15.75" customHeight="1">
      <c r="A113" s="138" t="str">
        <f t="shared" si="78"/>
        <v>Okra</v>
      </c>
      <c r="B113" s="138">
        <f t="shared" si="90"/>
        <v>0</v>
      </c>
      <c r="C113" s="138">
        <f t="shared" si="81"/>
        <v>0</v>
      </c>
      <c r="D113" s="138">
        <f t="shared" ref="D113:H113" si="93">(C113/C$100)*D$100</f>
        <v>0</v>
      </c>
      <c r="E113" s="138">
        <f t="shared" si="93"/>
        <v>0</v>
      </c>
      <c r="F113" s="138">
        <f t="shared" si="93"/>
        <v>0</v>
      </c>
      <c r="G113" s="138">
        <f t="shared" si="93"/>
        <v>0</v>
      </c>
      <c r="H113" s="138">
        <f t="shared" si="93"/>
        <v>0</v>
      </c>
    </row>
    <row r="114" spans="1:9" ht="15.75" customHeight="1">
      <c r="A114" s="138" t="str">
        <f t="shared" si="78"/>
        <v>Chilli</v>
      </c>
      <c r="B114" s="138">
        <f t="shared" si="90"/>
        <v>0</v>
      </c>
      <c r="C114" s="138">
        <f t="shared" si="81"/>
        <v>0</v>
      </c>
      <c r="D114" s="138">
        <f t="shared" ref="D114:H114" si="94">(C114/C$100)*D$100</f>
        <v>0</v>
      </c>
      <c r="E114" s="138">
        <f t="shared" si="94"/>
        <v>0</v>
      </c>
      <c r="F114" s="138">
        <f t="shared" si="94"/>
        <v>0</v>
      </c>
      <c r="G114" s="138">
        <f t="shared" si="94"/>
        <v>0</v>
      </c>
      <c r="H114" s="138">
        <f t="shared" si="94"/>
        <v>0</v>
      </c>
    </row>
    <row r="115" spans="1:9" ht="15.75" customHeight="1">
      <c r="A115" s="138" t="str">
        <f t="shared" si="78"/>
        <v>Brinjal</v>
      </c>
      <c r="B115" s="138">
        <f t="shared" si="90"/>
        <v>0</v>
      </c>
      <c r="C115" s="138">
        <f t="shared" si="81"/>
        <v>0</v>
      </c>
      <c r="D115" s="138">
        <f t="shared" ref="D115:H115" si="95">(C115/C$100)*D$100</f>
        <v>0</v>
      </c>
      <c r="E115" s="138">
        <f t="shared" si="95"/>
        <v>0</v>
      </c>
      <c r="F115" s="138">
        <f t="shared" si="95"/>
        <v>0</v>
      </c>
      <c r="G115" s="138">
        <f t="shared" si="95"/>
        <v>0</v>
      </c>
      <c r="H115" s="138">
        <f t="shared" si="95"/>
        <v>0</v>
      </c>
    </row>
    <row r="116" spans="1:9" ht="15.75" customHeight="1">
      <c r="A116" s="138">
        <f t="shared" si="78"/>
        <v>0</v>
      </c>
      <c r="B116" s="138">
        <f t="shared" si="90"/>
        <v>0</v>
      </c>
      <c r="C116" s="138">
        <f t="shared" si="81"/>
        <v>0</v>
      </c>
      <c r="D116" s="138">
        <f t="shared" ref="D116:H116" si="96">(C116/C$100)*D$100</f>
        <v>0</v>
      </c>
      <c r="E116" s="138">
        <f t="shared" si="96"/>
        <v>0</v>
      </c>
      <c r="F116" s="138">
        <f t="shared" si="96"/>
        <v>0</v>
      </c>
      <c r="G116" s="138">
        <f t="shared" si="96"/>
        <v>0</v>
      </c>
      <c r="H116" s="138">
        <f t="shared" si="96"/>
        <v>0</v>
      </c>
    </row>
    <row r="117" spans="1:9" ht="15.75" customHeight="1">
      <c r="A117" s="138">
        <f t="shared" si="78"/>
        <v>0</v>
      </c>
      <c r="B117" s="138">
        <f t="shared" si="90"/>
        <v>0</v>
      </c>
      <c r="C117" s="138">
        <f t="shared" si="81"/>
        <v>0</v>
      </c>
      <c r="D117" s="138">
        <f t="shared" ref="D117:H117" si="97">(C117/C$100)*D$100</f>
        <v>0</v>
      </c>
      <c r="E117" s="138">
        <f t="shared" si="97"/>
        <v>0</v>
      </c>
      <c r="F117" s="138">
        <f t="shared" si="97"/>
        <v>0</v>
      </c>
      <c r="G117" s="138">
        <f t="shared" si="97"/>
        <v>0</v>
      </c>
      <c r="H117" s="138">
        <f t="shared" si="97"/>
        <v>0</v>
      </c>
    </row>
    <row r="118" spans="1:9" ht="15.75" customHeight="1">
      <c r="A118" s="138">
        <f t="shared" si="78"/>
        <v>0</v>
      </c>
      <c r="B118" s="138">
        <f t="shared" si="90"/>
        <v>0</v>
      </c>
      <c r="C118" s="138">
        <f t="shared" si="81"/>
        <v>0</v>
      </c>
      <c r="D118" s="138">
        <f t="shared" ref="D118:H118" si="98">(C118/C$100)*D$100</f>
        <v>0</v>
      </c>
      <c r="E118" s="138">
        <f t="shared" si="98"/>
        <v>0</v>
      </c>
      <c r="F118" s="138">
        <f t="shared" si="98"/>
        <v>0</v>
      </c>
      <c r="G118" s="138">
        <f t="shared" si="98"/>
        <v>0</v>
      </c>
      <c r="H118" s="138">
        <f t="shared" si="98"/>
        <v>0</v>
      </c>
    </row>
    <row r="119" spans="1:9" ht="15.75" customHeight="1">
      <c r="A119" s="138">
        <f t="shared" si="78"/>
        <v>0</v>
      </c>
      <c r="B119" s="138">
        <f t="shared" ref="B119:B126" si="99">D33*$B$100</f>
        <v>0</v>
      </c>
      <c r="C119" s="138">
        <f t="shared" si="81"/>
        <v>0</v>
      </c>
      <c r="D119" s="138">
        <f t="shared" ref="D119:H119" si="100">(C119/C$100)*D$100</f>
        <v>0</v>
      </c>
      <c r="E119" s="138">
        <f t="shared" si="100"/>
        <v>0</v>
      </c>
      <c r="F119" s="138">
        <f t="shared" si="100"/>
        <v>0</v>
      </c>
      <c r="G119" s="138">
        <f t="shared" si="100"/>
        <v>0</v>
      </c>
      <c r="H119" s="138">
        <f t="shared" si="100"/>
        <v>0</v>
      </c>
    </row>
    <row r="120" spans="1:9" ht="15.75" customHeight="1">
      <c r="A120" s="138">
        <f t="shared" si="78"/>
        <v>0</v>
      </c>
      <c r="B120" s="138">
        <f t="shared" si="99"/>
        <v>0</v>
      </c>
      <c r="C120" s="138">
        <f t="shared" si="81"/>
        <v>0</v>
      </c>
      <c r="D120" s="138">
        <f t="shared" ref="D120:H120" si="101">(C120/C$100)*D$100</f>
        <v>0</v>
      </c>
      <c r="E120" s="138">
        <f t="shared" si="101"/>
        <v>0</v>
      </c>
      <c r="F120" s="138">
        <f t="shared" si="101"/>
        <v>0</v>
      </c>
      <c r="G120" s="138">
        <f t="shared" si="101"/>
        <v>0</v>
      </c>
      <c r="H120" s="138">
        <f t="shared" si="101"/>
        <v>0</v>
      </c>
    </row>
    <row r="121" spans="1:9" ht="15.75" customHeight="1">
      <c r="A121" s="138">
        <f t="shared" si="78"/>
        <v>0</v>
      </c>
      <c r="B121" s="138">
        <f t="shared" si="99"/>
        <v>0</v>
      </c>
      <c r="C121" s="138">
        <f t="shared" si="81"/>
        <v>0</v>
      </c>
      <c r="D121" s="138">
        <f t="shared" ref="D121:H121" si="102">(C121/C$100)*D$100</f>
        <v>0</v>
      </c>
      <c r="E121" s="138">
        <f t="shared" si="102"/>
        <v>0</v>
      </c>
      <c r="F121" s="138">
        <f t="shared" si="102"/>
        <v>0</v>
      </c>
      <c r="G121" s="138">
        <f t="shared" si="102"/>
        <v>0</v>
      </c>
      <c r="H121" s="138">
        <f t="shared" si="102"/>
        <v>0</v>
      </c>
    </row>
    <row r="122" spans="1:9" ht="15.75" customHeight="1">
      <c r="A122" s="138">
        <f t="shared" si="78"/>
        <v>0</v>
      </c>
      <c r="B122" s="138">
        <f t="shared" si="99"/>
        <v>0</v>
      </c>
      <c r="C122" s="138">
        <f t="shared" si="81"/>
        <v>0</v>
      </c>
      <c r="D122" s="138">
        <f t="shared" ref="D122:H122" si="103">(C122/C$100)*D$100</f>
        <v>0</v>
      </c>
      <c r="E122" s="138">
        <f t="shared" si="103"/>
        <v>0</v>
      </c>
      <c r="F122" s="138">
        <f t="shared" si="103"/>
        <v>0</v>
      </c>
      <c r="G122" s="138">
        <f t="shared" si="103"/>
        <v>0</v>
      </c>
      <c r="H122" s="138">
        <f t="shared" si="103"/>
        <v>0</v>
      </c>
    </row>
    <row r="123" spans="1:9" ht="15.75" customHeight="1">
      <c r="A123" s="138" t="str">
        <f t="shared" si="78"/>
        <v>Pomegranate</v>
      </c>
      <c r="B123" s="138">
        <f t="shared" si="99"/>
        <v>0</v>
      </c>
      <c r="C123" s="138">
        <f t="shared" si="81"/>
        <v>0</v>
      </c>
      <c r="D123" s="138">
        <f t="shared" ref="D123:H123" si="104">(C123/C$100)*D$100</f>
        <v>0</v>
      </c>
      <c r="E123" s="138">
        <f t="shared" si="104"/>
        <v>0</v>
      </c>
      <c r="F123" s="138">
        <f t="shared" si="104"/>
        <v>0</v>
      </c>
      <c r="G123" s="138">
        <f t="shared" si="104"/>
        <v>0</v>
      </c>
      <c r="H123" s="138">
        <f t="shared" si="104"/>
        <v>0</v>
      </c>
    </row>
    <row r="124" spans="1:9" ht="15.75" customHeight="1">
      <c r="A124" s="138" t="str">
        <f t="shared" si="78"/>
        <v>Custard Apple</v>
      </c>
      <c r="B124" s="138">
        <f t="shared" si="99"/>
        <v>0</v>
      </c>
      <c r="C124" s="138">
        <f t="shared" si="81"/>
        <v>0</v>
      </c>
      <c r="D124" s="138">
        <f t="shared" ref="D124:H124" si="105">(C124/C$100)*D$100</f>
        <v>0</v>
      </c>
      <c r="E124" s="138">
        <f t="shared" si="105"/>
        <v>0</v>
      </c>
      <c r="F124" s="138">
        <f t="shared" si="105"/>
        <v>0</v>
      </c>
      <c r="G124" s="138">
        <f t="shared" si="105"/>
        <v>0</v>
      </c>
      <c r="H124" s="138">
        <f t="shared" si="105"/>
        <v>0</v>
      </c>
    </row>
    <row r="125" spans="1:9" ht="15.75" customHeight="1">
      <c r="A125" s="138" t="str">
        <f t="shared" si="78"/>
        <v>Guava</v>
      </c>
      <c r="B125" s="138">
        <f t="shared" si="99"/>
        <v>0</v>
      </c>
      <c r="C125" s="138">
        <f t="shared" si="81"/>
        <v>0</v>
      </c>
      <c r="D125" s="138">
        <f t="shared" ref="D125:H125" si="106">(C125/C$100)*D$100</f>
        <v>0</v>
      </c>
      <c r="E125" s="138">
        <f t="shared" si="106"/>
        <v>0</v>
      </c>
      <c r="F125" s="138">
        <f t="shared" si="106"/>
        <v>0</v>
      </c>
      <c r="G125" s="138">
        <f t="shared" si="106"/>
        <v>0</v>
      </c>
      <c r="H125" s="138">
        <f t="shared" si="106"/>
        <v>0</v>
      </c>
    </row>
    <row r="126" spans="1:9" ht="15.75" customHeight="1">
      <c r="A126" s="138" t="str">
        <f t="shared" si="78"/>
        <v>Citrus</v>
      </c>
      <c r="B126" s="138">
        <f t="shared" si="99"/>
        <v>0</v>
      </c>
      <c r="C126" s="138">
        <f t="shared" si="81"/>
        <v>0</v>
      </c>
      <c r="D126" s="138">
        <f t="shared" ref="D126:H126" si="107">(C126/C$100)*D$100</f>
        <v>0</v>
      </c>
      <c r="E126" s="138">
        <f t="shared" si="107"/>
        <v>0</v>
      </c>
      <c r="F126" s="138">
        <f t="shared" si="107"/>
        <v>0</v>
      </c>
      <c r="G126" s="138">
        <f t="shared" si="107"/>
        <v>0</v>
      </c>
      <c r="H126" s="138">
        <f t="shared" si="107"/>
        <v>0</v>
      </c>
    </row>
    <row r="127" spans="1:9" ht="15.75" customHeight="1"/>
    <row r="128" spans="1:9" ht="15.75" customHeight="1">
      <c r="C128" s="157"/>
      <c r="D128" s="212"/>
      <c r="E128" s="212"/>
      <c r="F128" s="212"/>
      <c r="G128" s="212"/>
      <c r="H128" s="212"/>
      <c r="I128" s="212"/>
    </row>
    <row r="129" spans="1:9" ht="15.75" customHeight="1">
      <c r="A129" t="s">
        <v>539</v>
      </c>
      <c r="C129" s="48"/>
      <c r="D129" s="48"/>
      <c r="E129" s="48"/>
      <c r="F129" s="48"/>
      <c r="G129" s="48"/>
      <c r="H129" s="48"/>
      <c r="I129" s="48"/>
    </row>
    <row r="130" spans="1:9" ht="15.75" customHeight="1">
      <c r="A130">
        <v>1</v>
      </c>
      <c r="B130" t="s">
        <v>565</v>
      </c>
    </row>
    <row r="131" spans="1:9" ht="15.75" customHeight="1">
      <c r="A131">
        <v>2</v>
      </c>
      <c r="B131" t="s">
        <v>566</v>
      </c>
    </row>
    <row r="132" spans="1:9" ht="15.75" customHeight="1">
      <c r="A132">
        <v>3</v>
      </c>
      <c r="B132" t="s">
        <v>542</v>
      </c>
    </row>
  </sheetData>
  <mergeCells count="13">
    <mergeCell ref="A3:B3"/>
    <mergeCell ref="A1:H1"/>
    <mergeCell ref="A37:A40"/>
    <mergeCell ref="A44:A45"/>
    <mergeCell ref="A71:H71"/>
    <mergeCell ref="A72:A73"/>
    <mergeCell ref="A99:H99"/>
    <mergeCell ref="A100:A101"/>
    <mergeCell ref="A11:H11"/>
    <mergeCell ref="A14:A22"/>
    <mergeCell ref="A24:A31"/>
    <mergeCell ref="A41:H41"/>
    <mergeCell ref="A43:H43"/>
  </mergeCells>
  <pageMargins left="0.7" right="0.7" top="0.75" bottom="0.75" header="0" footer="0"/>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topLeftCell="A303" workbookViewId="0">
      <selection activeCell="A2" sqref="A2:J313"/>
    </sheetView>
  </sheetViews>
  <sheetFormatPr defaultColWidth="14.44140625" defaultRowHeight="15" customHeight="1"/>
  <cols>
    <col min="1" max="1" width="42.44140625" customWidth="1"/>
    <col min="2" max="2" width="23.44140625" customWidth="1"/>
    <col min="3" max="3" width="11.88671875" customWidth="1"/>
    <col min="4" max="5" width="15.88671875" customWidth="1"/>
    <col min="6" max="6" width="18.109375" customWidth="1"/>
    <col min="7" max="10" width="15.88671875" customWidth="1"/>
    <col min="11" max="11" width="10.5546875" customWidth="1"/>
    <col min="12" max="12" width="8.6640625" customWidth="1"/>
    <col min="13" max="13" width="22.88671875" customWidth="1"/>
    <col min="14" max="14" width="12.88671875" customWidth="1"/>
    <col min="15" max="20" width="8.6640625" customWidth="1"/>
  </cols>
  <sheetData>
    <row r="2" spans="1:8" ht="17.399999999999999">
      <c r="A2" s="351" t="s">
        <v>567</v>
      </c>
      <c r="B2" s="335"/>
      <c r="C2" s="335"/>
      <c r="D2" s="335"/>
      <c r="E2" s="335"/>
      <c r="F2" s="335"/>
      <c r="G2" s="335"/>
      <c r="H2" s="335"/>
    </row>
    <row r="3" spans="1:8" ht="17.399999999999999">
      <c r="A3" s="351" t="s">
        <v>568</v>
      </c>
      <c r="B3" s="335"/>
      <c r="C3" s="335"/>
      <c r="D3" s="335"/>
      <c r="E3" s="335"/>
      <c r="F3" s="335"/>
      <c r="G3" s="335"/>
      <c r="H3" s="335"/>
    </row>
    <row r="4" spans="1:8" ht="14.4">
      <c r="B4" s="71"/>
      <c r="C4" s="71"/>
      <c r="D4" s="71"/>
      <c r="E4" s="71"/>
      <c r="F4" s="353" t="s">
        <v>569</v>
      </c>
      <c r="G4" s="335"/>
      <c r="H4" s="335"/>
    </row>
    <row r="5" spans="1:8" ht="14.4">
      <c r="A5" s="71" t="s">
        <v>130</v>
      </c>
      <c r="B5" s="264">
        <v>100</v>
      </c>
      <c r="C5" s="327" t="s">
        <v>770</v>
      </c>
      <c r="D5" s="71"/>
      <c r="E5" s="71"/>
      <c r="F5" s="242" t="s">
        <v>570</v>
      </c>
      <c r="G5" s="242" t="s">
        <v>571</v>
      </c>
      <c r="H5" s="71"/>
    </row>
    <row r="6" spans="1:8" ht="14.4">
      <c r="A6" s="71" t="s">
        <v>572</v>
      </c>
      <c r="B6" s="120">
        <v>8</v>
      </c>
      <c r="C6" s="71"/>
      <c r="D6" s="71"/>
      <c r="E6" s="71"/>
      <c r="F6" s="138" t="s">
        <v>573</v>
      </c>
      <c r="G6" s="265">
        <v>0.03</v>
      </c>
      <c r="H6" s="71"/>
    </row>
    <row r="7" spans="1:8" ht="14.4">
      <c r="A7" s="71"/>
      <c r="B7" s="71"/>
      <c r="C7" s="71"/>
      <c r="D7" s="71"/>
      <c r="E7" s="71"/>
      <c r="F7" s="138" t="s">
        <v>574</v>
      </c>
      <c r="G7" s="265">
        <v>0.05</v>
      </c>
      <c r="H7" s="71"/>
    </row>
    <row r="8" spans="1:8" ht="14.4">
      <c r="A8" s="71" t="s">
        <v>575</v>
      </c>
      <c r="B8" s="71">
        <v>300</v>
      </c>
      <c r="C8" s="71"/>
      <c r="D8" s="71"/>
      <c r="E8" s="71"/>
      <c r="F8" s="138"/>
      <c r="G8" s="265"/>
      <c r="H8" s="71"/>
    </row>
    <row r="9" spans="1:8" ht="14.4">
      <c r="A9" s="74" t="s">
        <v>149</v>
      </c>
      <c r="B9" s="75" t="s">
        <v>152</v>
      </c>
      <c r="C9" s="75" t="s">
        <v>153</v>
      </c>
      <c r="D9" s="75" t="s">
        <v>154</v>
      </c>
      <c r="E9" s="75" t="s">
        <v>155</v>
      </c>
      <c r="F9" s="75" t="s">
        <v>156</v>
      </c>
      <c r="G9" s="75" t="s">
        <v>157</v>
      </c>
      <c r="H9" s="75" t="s">
        <v>158</v>
      </c>
    </row>
    <row r="10" spans="1:8" ht="14.4">
      <c r="A10" s="76" t="s">
        <v>576</v>
      </c>
      <c r="B10" s="238">
        <f t="shared" ref="B10:H10" si="0">B33/($B$5*$B$6)</f>
        <v>4.7249999999999996</v>
      </c>
      <c r="C10" s="238">
        <f t="shared" si="0"/>
        <v>4.7249999999999996</v>
      </c>
      <c r="D10" s="238">
        <f t="shared" si="0"/>
        <v>4.7249999999999996</v>
      </c>
      <c r="E10" s="238">
        <f t="shared" si="0"/>
        <v>4.7249999999999996</v>
      </c>
      <c r="F10" s="238">
        <f t="shared" si="0"/>
        <v>4.7249999999999996</v>
      </c>
      <c r="G10" s="238">
        <f t="shared" si="0"/>
        <v>4.7249999999999996</v>
      </c>
      <c r="H10" s="238">
        <f t="shared" si="0"/>
        <v>4.7249999999999996</v>
      </c>
    </row>
    <row r="11" spans="1:8" ht="14.4">
      <c r="A11" s="266" t="str">
        <f>'10.Grain Production details'!A42</f>
        <v>Soybean</v>
      </c>
      <c r="B11" s="266">
        <f>'10.Grain Production details'!B42</f>
        <v>0</v>
      </c>
      <c r="C11" s="266">
        <f>'10.Grain Production details'!C42</f>
        <v>0</v>
      </c>
      <c r="D11" s="266">
        <f>'10.Grain Production details'!D42</f>
        <v>0</v>
      </c>
      <c r="E11" s="266">
        <f>'10.Grain Production details'!E42</f>
        <v>0</v>
      </c>
      <c r="F11" s="266">
        <f>'10.Grain Production details'!F42</f>
        <v>0</v>
      </c>
      <c r="G11" s="266">
        <f>'10.Grain Production details'!G42</f>
        <v>0</v>
      </c>
      <c r="H11" s="266">
        <f>'10.Grain Production details'!H42</f>
        <v>0</v>
      </c>
    </row>
    <row r="12" spans="1:8" ht="14.4">
      <c r="A12" s="266" t="str">
        <f>'10.Grain Production details'!A43</f>
        <v>Red Gram/Tur</v>
      </c>
      <c r="B12" s="266">
        <f>'10.Grain Production details'!B43</f>
        <v>0</v>
      </c>
      <c r="C12" s="266">
        <f>'10.Grain Production details'!C43</f>
        <v>0</v>
      </c>
      <c r="D12" s="266">
        <f>'10.Grain Production details'!D43</f>
        <v>0</v>
      </c>
      <c r="E12" s="266">
        <f>'10.Grain Production details'!E43</f>
        <v>0</v>
      </c>
      <c r="F12" s="266">
        <f>'10.Grain Production details'!F43</f>
        <v>0</v>
      </c>
      <c r="G12" s="266">
        <f>'10.Grain Production details'!G43</f>
        <v>0</v>
      </c>
      <c r="H12" s="266">
        <f>'10.Grain Production details'!H43</f>
        <v>0</v>
      </c>
    </row>
    <row r="13" spans="1:8" ht="14.4">
      <c r="A13" s="266" t="str">
        <f>'10.Grain Production details'!A44</f>
        <v>Turmeric</v>
      </c>
      <c r="B13" s="266">
        <f>'10.Grain Production details'!B44</f>
        <v>3779.9999999999995</v>
      </c>
      <c r="C13" s="266">
        <f>'10.Grain Production details'!C44</f>
        <v>3779.9999999999995</v>
      </c>
      <c r="D13" s="266">
        <f>'10.Grain Production details'!D44</f>
        <v>3779.9999999999995</v>
      </c>
      <c r="E13" s="266">
        <f>'10.Grain Production details'!E44</f>
        <v>3779.9999999999995</v>
      </c>
      <c r="F13" s="266">
        <f>'10.Grain Production details'!F44</f>
        <v>3779.9999999999995</v>
      </c>
      <c r="G13" s="266">
        <f>'10.Grain Production details'!G44</f>
        <v>3779.9999999999995</v>
      </c>
      <c r="H13" s="266">
        <f>'10.Grain Production details'!H44</f>
        <v>3779.9999999999995</v>
      </c>
    </row>
    <row r="14" spans="1:8" ht="14.4">
      <c r="A14" s="266" t="str">
        <f>'10.Grain Production details'!A45</f>
        <v>Green Gram/ Moong</v>
      </c>
      <c r="B14" s="266">
        <f>'10.Grain Production details'!B45</f>
        <v>0</v>
      </c>
      <c r="C14" s="266">
        <f>'10.Grain Production details'!C45</f>
        <v>0</v>
      </c>
      <c r="D14" s="266">
        <f>'10.Grain Production details'!D45</f>
        <v>0</v>
      </c>
      <c r="E14" s="266">
        <f>'10.Grain Production details'!E45</f>
        <v>0</v>
      </c>
      <c r="F14" s="266">
        <f>'10.Grain Production details'!F45</f>
        <v>0</v>
      </c>
      <c r="G14" s="266">
        <f>'10.Grain Production details'!G45</f>
        <v>0</v>
      </c>
      <c r="H14" s="266">
        <f>'10.Grain Production details'!H45</f>
        <v>0</v>
      </c>
    </row>
    <row r="15" spans="1:8" ht="14.4">
      <c r="A15" s="266" t="str">
        <f>'10.Grain Production details'!A46</f>
        <v>Maize</v>
      </c>
      <c r="B15" s="266">
        <f>'10.Grain Production details'!B46</f>
        <v>0</v>
      </c>
      <c r="C15" s="266">
        <f>'10.Grain Production details'!C46</f>
        <v>0</v>
      </c>
      <c r="D15" s="266">
        <f>'10.Grain Production details'!D46</f>
        <v>0</v>
      </c>
      <c r="E15" s="266">
        <f>'10.Grain Production details'!E46</f>
        <v>0</v>
      </c>
      <c r="F15" s="266">
        <f>'10.Grain Production details'!F46</f>
        <v>0</v>
      </c>
      <c r="G15" s="266">
        <f>'10.Grain Production details'!G46</f>
        <v>0</v>
      </c>
      <c r="H15" s="266">
        <f>'10.Grain Production details'!H46</f>
        <v>0</v>
      </c>
    </row>
    <row r="16" spans="1:8" ht="14.4">
      <c r="A16" s="266" t="str">
        <f>'10.Grain Production details'!A47</f>
        <v>Black Gram/Udid</v>
      </c>
      <c r="B16" s="266">
        <f>'10.Grain Production details'!B47</f>
        <v>0</v>
      </c>
      <c r="C16" s="266">
        <f>'10.Grain Production details'!C47</f>
        <v>0</v>
      </c>
      <c r="D16" s="266">
        <f>'10.Grain Production details'!D47</f>
        <v>0</v>
      </c>
      <c r="E16" s="266">
        <f>'10.Grain Production details'!E47</f>
        <v>0</v>
      </c>
      <c r="F16" s="266">
        <f>'10.Grain Production details'!F47</f>
        <v>0</v>
      </c>
      <c r="G16" s="266">
        <f>'10.Grain Production details'!G47</f>
        <v>0</v>
      </c>
      <c r="H16" s="266">
        <f>'10.Grain Production details'!H47</f>
        <v>0</v>
      </c>
    </row>
    <row r="17" spans="1:8" ht="14.4">
      <c r="A17" s="266" t="str">
        <f>'10.Grain Production details'!A48</f>
        <v>Bajra</v>
      </c>
      <c r="B17" s="266">
        <f>'10.Grain Production details'!B48</f>
        <v>0</v>
      </c>
      <c r="C17" s="266">
        <f>'10.Grain Production details'!C48</f>
        <v>0</v>
      </c>
      <c r="D17" s="266">
        <f>'10.Grain Production details'!D48</f>
        <v>0</v>
      </c>
      <c r="E17" s="266">
        <f>'10.Grain Production details'!E48</f>
        <v>0</v>
      </c>
      <c r="F17" s="266">
        <f>'10.Grain Production details'!F48</f>
        <v>0</v>
      </c>
      <c r="G17" s="266">
        <f>'10.Grain Production details'!G48</f>
        <v>0</v>
      </c>
      <c r="H17" s="266">
        <f>'10.Grain Production details'!H48</f>
        <v>0</v>
      </c>
    </row>
    <row r="18" spans="1:8" ht="14.4">
      <c r="A18" s="266" t="str">
        <f>'10.Grain Production details'!A49</f>
        <v>Jawar</v>
      </c>
      <c r="B18" s="266">
        <f>'10.Grain Production details'!B49</f>
        <v>0</v>
      </c>
      <c r="C18" s="266">
        <f>'10.Grain Production details'!C49</f>
        <v>0</v>
      </c>
      <c r="D18" s="266">
        <f>'10.Grain Production details'!D49</f>
        <v>0</v>
      </c>
      <c r="E18" s="266">
        <f>'10.Grain Production details'!E49</f>
        <v>0</v>
      </c>
      <c r="F18" s="266">
        <f>'10.Grain Production details'!F49</f>
        <v>0</v>
      </c>
      <c r="G18" s="266">
        <f>'10.Grain Production details'!G49</f>
        <v>0</v>
      </c>
      <c r="H18" s="266">
        <f>'10.Grain Production details'!H49</f>
        <v>0</v>
      </c>
    </row>
    <row r="19" spans="1:8" ht="14.4">
      <c r="A19" s="266" t="str">
        <f>'10.Grain Production details'!A50</f>
        <v>Sunflower</v>
      </c>
      <c r="B19" s="266">
        <f>'10.Grain Production details'!B50</f>
        <v>0</v>
      </c>
      <c r="C19" s="266">
        <f>'10.Grain Production details'!C50</f>
        <v>0</v>
      </c>
      <c r="D19" s="266">
        <f>'10.Grain Production details'!D50</f>
        <v>0</v>
      </c>
      <c r="E19" s="266">
        <f>'10.Grain Production details'!E50</f>
        <v>0</v>
      </c>
      <c r="F19" s="266">
        <f>'10.Grain Production details'!F50</f>
        <v>0</v>
      </c>
      <c r="G19" s="266">
        <f>'10.Grain Production details'!G50</f>
        <v>0</v>
      </c>
      <c r="H19" s="266">
        <f>'10.Grain Production details'!H50</f>
        <v>0</v>
      </c>
    </row>
    <row r="20" spans="1:8" ht="14.4">
      <c r="A20" s="266" t="str">
        <f>'10.Grain Production details'!A51</f>
        <v>Wheat</v>
      </c>
      <c r="B20" s="266">
        <f>'10.Grain Production details'!B51</f>
        <v>0</v>
      </c>
      <c r="C20" s="266">
        <f>'10.Grain Production details'!C51</f>
        <v>0</v>
      </c>
      <c r="D20" s="266">
        <f>'10.Grain Production details'!D51</f>
        <v>0</v>
      </c>
      <c r="E20" s="266">
        <f>'10.Grain Production details'!E51</f>
        <v>0</v>
      </c>
      <c r="F20" s="266">
        <f>'10.Grain Production details'!F51</f>
        <v>0</v>
      </c>
      <c r="G20" s="266">
        <f>'10.Grain Production details'!G51</f>
        <v>0</v>
      </c>
      <c r="H20" s="266">
        <f>'10.Grain Production details'!H51</f>
        <v>0</v>
      </c>
    </row>
    <row r="21" spans="1:8" ht="15.75" customHeight="1">
      <c r="A21" s="266" t="str">
        <f>'10.Grain Production details'!A52</f>
        <v>Bengal Gram/Channa</v>
      </c>
      <c r="B21" s="266">
        <f>'10.Grain Production details'!B52</f>
        <v>0</v>
      </c>
      <c r="C21" s="266">
        <f>'10.Grain Production details'!C52</f>
        <v>0</v>
      </c>
      <c r="D21" s="266">
        <f>'10.Grain Production details'!D52</f>
        <v>0</v>
      </c>
      <c r="E21" s="266">
        <f>'10.Grain Production details'!E52</f>
        <v>0</v>
      </c>
      <c r="F21" s="266">
        <f>'10.Grain Production details'!F52</f>
        <v>0</v>
      </c>
      <c r="G21" s="266">
        <f>'10.Grain Production details'!G52</f>
        <v>0</v>
      </c>
      <c r="H21" s="266">
        <f>'10.Grain Production details'!H52</f>
        <v>0</v>
      </c>
    </row>
    <row r="22" spans="1:8" ht="15.75" customHeight="1">
      <c r="A22" s="266" t="str">
        <f>'10.Grain Production details'!A53</f>
        <v>Jawar</v>
      </c>
      <c r="B22" s="266">
        <f>'10.Grain Production details'!B53</f>
        <v>0</v>
      </c>
      <c r="C22" s="266">
        <f>'10.Grain Production details'!C53</f>
        <v>0</v>
      </c>
      <c r="D22" s="266">
        <f>'10.Grain Production details'!D53</f>
        <v>0</v>
      </c>
      <c r="E22" s="266">
        <f>'10.Grain Production details'!E53</f>
        <v>0</v>
      </c>
      <c r="F22" s="266">
        <f>'10.Grain Production details'!F53</f>
        <v>0</v>
      </c>
      <c r="G22" s="266">
        <f>'10.Grain Production details'!G53</f>
        <v>0</v>
      </c>
      <c r="H22" s="266">
        <f>'10.Grain Production details'!H53</f>
        <v>0</v>
      </c>
    </row>
    <row r="23" spans="1:8" ht="15.75" customHeight="1">
      <c r="A23" s="266" t="str">
        <f>'10.Grain Production details'!A54</f>
        <v>Maize</v>
      </c>
      <c r="B23" s="266">
        <f>'10.Grain Production details'!B54</f>
        <v>0</v>
      </c>
      <c r="C23" s="266">
        <f>'10.Grain Production details'!C54</f>
        <v>0</v>
      </c>
      <c r="D23" s="266">
        <f>'10.Grain Production details'!D54</f>
        <v>0</v>
      </c>
      <c r="E23" s="266">
        <f>'10.Grain Production details'!E54</f>
        <v>0</v>
      </c>
      <c r="F23" s="266">
        <f>'10.Grain Production details'!F54</f>
        <v>0</v>
      </c>
      <c r="G23" s="266">
        <f>'10.Grain Production details'!G54</f>
        <v>0</v>
      </c>
      <c r="H23" s="266">
        <f>'10.Grain Production details'!H54</f>
        <v>0</v>
      </c>
    </row>
    <row r="24" spans="1:8" ht="15.75" customHeight="1">
      <c r="A24" s="266" t="str">
        <f>'10.Grain Production details'!A55</f>
        <v>Safflower</v>
      </c>
      <c r="B24" s="266">
        <f>'10.Grain Production details'!B55</f>
        <v>0</v>
      </c>
      <c r="C24" s="266">
        <f>'10.Grain Production details'!C55</f>
        <v>0</v>
      </c>
      <c r="D24" s="266">
        <f>'10.Grain Production details'!D55</f>
        <v>0</v>
      </c>
      <c r="E24" s="266">
        <f>'10.Grain Production details'!E55</f>
        <v>0</v>
      </c>
      <c r="F24" s="266">
        <f>'10.Grain Production details'!F55</f>
        <v>0</v>
      </c>
      <c r="G24" s="266">
        <f>'10.Grain Production details'!G55</f>
        <v>0</v>
      </c>
      <c r="H24" s="266">
        <f>'10.Grain Production details'!H55</f>
        <v>0</v>
      </c>
    </row>
    <row r="25" spans="1:8" ht="15.75" customHeight="1">
      <c r="A25" s="266">
        <f>'10.Grain Production details'!A56</f>
        <v>0</v>
      </c>
      <c r="B25" s="266">
        <f>'10.Grain Production details'!B56</f>
        <v>0</v>
      </c>
      <c r="C25" s="266">
        <f>'10.Grain Production details'!C56</f>
        <v>0</v>
      </c>
      <c r="D25" s="266">
        <f>'10.Grain Production details'!D56</f>
        <v>0</v>
      </c>
      <c r="E25" s="266">
        <f>'10.Grain Production details'!E56</f>
        <v>0</v>
      </c>
      <c r="F25" s="266">
        <f>'10.Grain Production details'!F56</f>
        <v>0</v>
      </c>
      <c r="G25" s="266">
        <f>'10.Grain Production details'!G56</f>
        <v>0</v>
      </c>
      <c r="H25" s="266">
        <f>'10.Grain Production details'!H56</f>
        <v>0</v>
      </c>
    </row>
    <row r="26" spans="1:8" ht="15.75" customHeight="1">
      <c r="A26" s="266">
        <f>'10.Grain Production details'!A57</f>
        <v>0</v>
      </c>
      <c r="B26" s="266">
        <f>'10.Grain Production details'!B57</f>
        <v>0</v>
      </c>
      <c r="C26" s="266">
        <f>'10.Grain Production details'!C57</f>
        <v>0</v>
      </c>
      <c r="D26" s="266">
        <f>'10.Grain Production details'!D57</f>
        <v>0</v>
      </c>
      <c r="E26" s="266">
        <f>'10.Grain Production details'!E57</f>
        <v>0</v>
      </c>
      <c r="F26" s="266">
        <f>'10.Grain Production details'!F57</f>
        <v>0</v>
      </c>
      <c r="G26" s="266">
        <f>'10.Grain Production details'!G57</f>
        <v>0</v>
      </c>
      <c r="H26" s="266">
        <f>'10.Grain Production details'!H57</f>
        <v>0</v>
      </c>
    </row>
    <row r="27" spans="1:8" ht="15.75" customHeight="1">
      <c r="A27" s="266">
        <f>'10.Grain Production details'!A58</f>
        <v>0</v>
      </c>
      <c r="B27" s="266">
        <f>'10.Grain Production details'!B58</f>
        <v>0</v>
      </c>
      <c r="C27" s="266">
        <f>'10.Grain Production details'!C58</f>
        <v>0</v>
      </c>
      <c r="D27" s="266">
        <f>'10.Grain Production details'!D58</f>
        <v>0</v>
      </c>
      <c r="E27" s="266">
        <f>'10.Grain Production details'!E58</f>
        <v>0</v>
      </c>
      <c r="F27" s="266">
        <f>'10.Grain Production details'!F58</f>
        <v>0</v>
      </c>
      <c r="G27" s="266">
        <f>'10.Grain Production details'!G58</f>
        <v>0</v>
      </c>
      <c r="H27" s="266">
        <f>'10.Grain Production details'!H58</f>
        <v>0</v>
      </c>
    </row>
    <row r="28" spans="1:8" ht="15.75" customHeight="1">
      <c r="A28" s="266" t="str">
        <f>'10.Grain Production details'!A59</f>
        <v>Groundnut</v>
      </c>
      <c r="B28" s="266">
        <f>'10.Grain Production details'!B59</f>
        <v>0</v>
      </c>
      <c r="C28" s="266">
        <f>'10.Grain Production details'!C59</f>
        <v>0</v>
      </c>
      <c r="D28" s="266">
        <f>'10.Grain Production details'!D59</f>
        <v>0</v>
      </c>
      <c r="E28" s="266">
        <f>'10.Grain Production details'!E59</f>
        <v>0</v>
      </c>
      <c r="F28" s="266">
        <f>'10.Grain Production details'!F59</f>
        <v>0</v>
      </c>
      <c r="G28" s="266">
        <f>'10.Grain Production details'!G59</f>
        <v>0</v>
      </c>
      <c r="H28" s="266">
        <f>'10.Grain Production details'!H59</f>
        <v>0</v>
      </c>
    </row>
    <row r="29" spans="1:8" ht="15.75" customHeight="1">
      <c r="A29" s="266">
        <f>'10.Grain Production details'!A60</f>
        <v>0</v>
      </c>
      <c r="B29" s="266">
        <f>'10.Grain Production details'!B60</f>
        <v>0</v>
      </c>
      <c r="C29" s="266">
        <f>'10.Grain Production details'!C60</f>
        <v>0</v>
      </c>
      <c r="D29" s="266">
        <f>'10.Grain Production details'!D60</f>
        <v>0</v>
      </c>
      <c r="E29" s="266">
        <f>'10.Grain Production details'!E60</f>
        <v>0</v>
      </c>
      <c r="F29" s="266">
        <f>'10.Grain Production details'!F60</f>
        <v>0</v>
      </c>
      <c r="G29" s="266">
        <f>'10.Grain Production details'!G60</f>
        <v>0</v>
      </c>
      <c r="H29" s="266">
        <f>'10.Grain Production details'!H60</f>
        <v>0</v>
      </c>
    </row>
    <row r="30" spans="1:8" ht="15.75" customHeight="1">
      <c r="A30" s="266">
        <f>'10.Grain Production details'!A61</f>
        <v>0</v>
      </c>
      <c r="B30" s="266">
        <f>'10.Grain Production details'!B61</f>
        <v>0</v>
      </c>
      <c r="C30" s="266">
        <f>'10.Grain Production details'!C61</f>
        <v>0</v>
      </c>
      <c r="D30" s="266">
        <f>'10.Grain Production details'!D61</f>
        <v>0</v>
      </c>
      <c r="E30" s="266">
        <f>'10.Grain Production details'!E61</f>
        <v>0</v>
      </c>
      <c r="F30" s="266">
        <f>'10.Grain Production details'!F61</f>
        <v>0</v>
      </c>
      <c r="G30" s="266">
        <f>'10.Grain Production details'!G61</f>
        <v>0</v>
      </c>
      <c r="H30" s="266">
        <f>'10.Grain Production details'!H61</f>
        <v>0</v>
      </c>
    </row>
    <row r="31" spans="1:8" ht="15.75" customHeight="1">
      <c r="A31" s="266">
        <f>'10.Grain Production details'!A62</f>
        <v>0</v>
      </c>
      <c r="B31" s="266">
        <f>'10.Grain Production details'!B62</f>
        <v>0</v>
      </c>
      <c r="C31" s="266">
        <f>'10.Grain Production details'!C62</f>
        <v>0</v>
      </c>
      <c r="D31" s="266">
        <f>'10.Grain Production details'!D62</f>
        <v>0</v>
      </c>
      <c r="E31" s="266">
        <f>'10.Grain Production details'!E62</f>
        <v>0</v>
      </c>
      <c r="F31" s="266">
        <f>'10.Grain Production details'!F62</f>
        <v>0</v>
      </c>
      <c r="G31" s="266">
        <f>'10.Grain Production details'!G62</f>
        <v>0</v>
      </c>
      <c r="H31" s="266">
        <f>'10.Grain Production details'!H62</f>
        <v>0</v>
      </c>
    </row>
    <row r="32" spans="1:8" ht="15.75" customHeight="1">
      <c r="A32" s="266">
        <f>'10.Grain Production details'!B63</f>
        <v>0</v>
      </c>
      <c r="B32" s="266">
        <f>'10.Grain Production details'!C63</f>
        <v>0</v>
      </c>
      <c r="C32" s="266">
        <f>'10.Grain Production details'!D63</f>
        <v>0</v>
      </c>
      <c r="D32" s="266">
        <f>'10.Grain Production details'!E63</f>
        <v>0</v>
      </c>
      <c r="E32" s="266">
        <f>'10.Grain Production details'!F63</f>
        <v>0</v>
      </c>
      <c r="F32" s="266">
        <f>'10.Grain Production details'!G63</f>
        <v>0</v>
      </c>
      <c r="G32" s="266">
        <f>'10.Grain Production details'!H63</f>
        <v>0</v>
      </c>
      <c r="H32" s="266">
        <f>'10.Grain Production details'!I63</f>
        <v>0</v>
      </c>
    </row>
    <row r="33" spans="1:8" ht="15.75" customHeight="1">
      <c r="A33" s="79" t="s">
        <v>577</v>
      </c>
      <c r="B33" s="266">
        <f t="shared" ref="B33:H33" si="1">SUM(B11:B32)</f>
        <v>3779.9999999999995</v>
      </c>
      <c r="C33" s="266">
        <f t="shared" si="1"/>
        <v>3779.9999999999995</v>
      </c>
      <c r="D33" s="266">
        <f t="shared" si="1"/>
        <v>3779.9999999999995</v>
      </c>
      <c r="E33" s="266">
        <f t="shared" si="1"/>
        <v>3779.9999999999995</v>
      </c>
      <c r="F33" s="266">
        <f t="shared" si="1"/>
        <v>3779.9999999999995</v>
      </c>
      <c r="G33" s="266">
        <f t="shared" si="1"/>
        <v>3779.9999999999995</v>
      </c>
      <c r="H33" s="266">
        <f t="shared" si="1"/>
        <v>3779.9999999999995</v>
      </c>
    </row>
    <row r="34" spans="1:8" ht="15.75" customHeight="1">
      <c r="A34" s="266" t="str">
        <f>'11.F&amp;V Crop Production details'!A1:H1</f>
        <v>Fruit  &amp; Vegetables Crop Production Details</v>
      </c>
      <c r="B34" s="266"/>
      <c r="C34" s="266"/>
      <c r="D34" s="266"/>
      <c r="E34" s="266"/>
      <c r="F34" s="266"/>
      <c r="G34" s="266"/>
      <c r="H34" s="266"/>
    </row>
    <row r="35" spans="1:8" ht="15.75" customHeight="1">
      <c r="A35" s="266" t="str">
        <f>'11.F&amp;V Crop Production details'!A46</f>
        <v>Onion</v>
      </c>
      <c r="B35" s="266">
        <f>'11.F&amp;V Crop Production details'!B46</f>
        <v>0</v>
      </c>
      <c r="C35" s="266">
        <f>'11.F&amp;V Crop Production details'!C46</f>
        <v>0</v>
      </c>
      <c r="D35" s="266">
        <f>'11.F&amp;V Crop Production details'!D46</f>
        <v>0</v>
      </c>
      <c r="E35" s="266">
        <f>'11.F&amp;V Crop Production details'!E46</f>
        <v>0</v>
      </c>
      <c r="F35" s="266">
        <f>'11.F&amp;V Crop Production details'!F46</f>
        <v>0</v>
      </c>
      <c r="G35" s="266">
        <f>'11.F&amp;V Crop Production details'!G46</f>
        <v>0</v>
      </c>
      <c r="H35" s="266">
        <f>'11.F&amp;V Crop Production details'!H46</f>
        <v>0</v>
      </c>
    </row>
    <row r="36" spans="1:8" ht="15.75" customHeight="1">
      <c r="A36" s="266" t="str">
        <f>'11.F&amp;V Crop Production details'!A47</f>
        <v>Tomato</v>
      </c>
      <c r="B36" s="266">
        <f>'11.F&amp;V Crop Production details'!B47</f>
        <v>0</v>
      </c>
      <c r="C36" s="266">
        <f>'11.F&amp;V Crop Production details'!C47</f>
        <v>0</v>
      </c>
      <c r="D36" s="266">
        <f>'11.F&amp;V Crop Production details'!D47</f>
        <v>0</v>
      </c>
      <c r="E36" s="266">
        <f>'11.F&amp;V Crop Production details'!E47</f>
        <v>0</v>
      </c>
      <c r="F36" s="266">
        <f>'11.F&amp;V Crop Production details'!F47</f>
        <v>0</v>
      </c>
      <c r="G36" s="266">
        <f>'11.F&amp;V Crop Production details'!G47</f>
        <v>0</v>
      </c>
      <c r="H36" s="266">
        <f>'11.F&amp;V Crop Production details'!H47</f>
        <v>0</v>
      </c>
    </row>
    <row r="37" spans="1:8" ht="15.75" customHeight="1">
      <c r="A37" s="266" t="str">
        <f>'11.F&amp;V Crop Production details'!A48</f>
        <v>Okra</v>
      </c>
      <c r="B37" s="266">
        <f>'11.F&amp;V Crop Production details'!B48</f>
        <v>0</v>
      </c>
      <c r="C37" s="266">
        <f>'11.F&amp;V Crop Production details'!C48</f>
        <v>0</v>
      </c>
      <c r="D37" s="266">
        <f>'11.F&amp;V Crop Production details'!D48</f>
        <v>0</v>
      </c>
      <c r="E37" s="266">
        <f>'11.F&amp;V Crop Production details'!E48</f>
        <v>0</v>
      </c>
      <c r="F37" s="266">
        <f>'11.F&amp;V Crop Production details'!F48</f>
        <v>0</v>
      </c>
      <c r="G37" s="266">
        <f>'11.F&amp;V Crop Production details'!G48</f>
        <v>0</v>
      </c>
      <c r="H37" s="266">
        <f>'11.F&amp;V Crop Production details'!H48</f>
        <v>0</v>
      </c>
    </row>
    <row r="38" spans="1:8" ht="15.75" customHeight="1">
      <c r="A38" s="266" t="str">
        <f>'11.F&amp;V Crop Production details'!A49</f>
        <v>Chilli</v>
      </c>
      <c r="B38" s="266">
        <f>'11.F&amp;V Crop Production details'!B49</f>
        <v>0</v>
      </c>
      <c r="C38" s="266">
        <f>'11.F&amp;V Crop Production details'!C49</f>
        <v>0</v>
      </c>
      <c r="D38" s="266">
        <f>'11.F&amp;V Crop Production details'!D49</f>
        <v>0</v>
      </c>
      <c r="E38" s="266">
        <f>'11.F&amp;V Crop Production details'!E49</f>
        <v>0</v>
      </c>
      <c r="F38" s="266">
        <f>'11.F&amp;V Crop Production details'!F49</f>
        <v>0</v>
      </c>
      <c r="G38" s="266">
        <f>'11.F&amp;V Crop Production details'!G49</f>
        <v>0</v>
      </c>
      <c r="H38" s="266">
        <f>'11.F&amp;V Crop Production details'!H49</f>
        <v>0</v>
      </c>
    </row>
    <row r="39" spans="1:8" ht="15.75" customHeight="1">
      <c r="A39" s="266" t="str">
        <f>'11.F&amp;V Crop Production details'!A50</f>
        <v>Potato</v>
      </c>
      <c r="B39" s="266">
        <f>'11.F&amp;V Crop Production details'!B50</f>
        <v>0</v>
      </c>
      <c r="C39" s="266">
        <f>'11.F&amp;V Crop Production details'!C50</f>
        <v>0</v>
      </c>
      <c r="D39" s="266">
        <f>'11.F&amp;V Crop Production details'!D50</f>
        <v>0</v>
      </c>
      <c r="E39" s="266">
        <f>'11.F&amp;V Crop Production details'!E50</f>
        <v>0</v>
      </c>
      <c r="F39" s="266">
        <f>'11.F&amp;V Crop Production details'!F50</f>
        <v>0</v>
      </c>
      <c r="G39" s="266">
        <f>'11.F&amp;V Crop Production details'!G50</f>
        <v>0</v>
      </c>
      <c r="H39" s="266">
        <f>'11.F&amp;V Crop Production details'!H50</f>
        <v>0</v>
      </c>
    </row>
    <row r="40" spans="1:8" ht="15.75" customHeight="1">
      <c r="A40" s="266">
        <f>'11.F&amp;V Crop Production details'!A51</f>
        <v>0</v>
      </c>
      <c r="B40" s="266">
        <f>'11.F&amp;V Crop Production details'!B51</f>
        <v>0</v>
      </c>
      <c r="C40" s="266">
        <f>'11.F&amp;V Crop Production details'!C51</f>
        <v>0</v>
      </c>
      <c r="D40" s="266">
        <f>'11.F&amp;V Crop Production details'!D51</f>
        <v>0</v>
      </c>
      <c r="E40" s="266">
        <f>'11.F&amp;V Crop Production details'!E51</f>
        <v>0</v>
      </c>
      <c r="F40" s="266">
        <f>'11.F&amp;V Crop Production details'!F51</f>
        <v>0</v>
      </c>
      <c r="G40" s="266">
        <f>'11.F&amp;V Crop Production details'!G51</f>
        <v>0</v>
      </c>
      <c r="H40" s="266">
        <f>'11.F&amp;V Crop Production details'!H51</f>
        <v>0</v>
      </c>
    </row>
    <row r="41" spans="1:8" ht="15.75" customHeight="1">
      <c r="A41" s="266">
        <f>'11.F&amp;V Crop Production details'!A52</f>
        <v>0</v>
      </c>
      <c r="B41" s="266">
        <f>'11.F&amp;V Crop Production details'!B52</f>
        <v>0</v>
      </c>
      <c r="C41" s="266">
        <f>'11.F&amp;V Crop Production details'!C52</f>
        <v>0</v>
      </c>
      <c r="D41" s="266">
        <f>'11.F&amp;V Crop Production details'!D52</f>
        <v>0</v>
      </c>
      <c r="E41" s="266">
        <f>'11.F&amp;V Crop Production details'!E52</f>
        <v>0</v>
      </c>
      <c r="F41" s="266">
        <f>'11.F&amp;V Crop Production details'!F52</f>
        <v>0</v>
      </c>
      <c r="G41" s="266">
        <f>'11.F&amp;V Crop Production details'!G52</f>
        <v>0</v>
      </c>
      <c r="H41" s="266">
        <f>'11.F&amp;V Crop Production details'!H52</f>
        <v>0</v>
      </c>
    </row>
    <row r="42" spans="1:8" ht="15.75" customHeight="1">
      <c r="A42" s="266">
        <f>'11.F&amp;V Crop Production details'!A53</f>
        <v>0</v>
      </c>
      <c r="B42" s="266">
        <f>'11.F&amp;V Crop Production details'!B53</f>
        <v>0</v>
      </c>
      <c r="C42" s="266">
        <f>'11.F&amp;V Crop Production details'!C53</f>
        <v>0</v>
      </c>
      <c r="D42" s="266">
        <f>'11.F&amp;V Crop Production details'!D53</f>
        <v>0</v>
      </c>
      <c r="E42" s="266">
        <f>'11.F&amp;V Crop Production details'!E53</f>
        <v>0</v>
      </c>
      <c r="F42" s="266">
        <f>'11.F&amp;V Crop Production details'!F53</f>
        <v>0</v>
      </c>
      <c r="G42" s="266">
        <f>'11.F&amp;V Crop Production details'!G53</f>
        <v>0</v>
      </c>
      <c r="H42" s="266">
        <f>'11.F&amp;V Crop Production details'!H53</f>
        <v>0</v>
      </c>
    </row>
    <row r="43" spans="1:8" ht="15.75" customHeight="1">
      <c r="A43" s="266">
        <f>'11.F&amp;V Crop Production details'!A54</f>
        <v>0</v>
      </c>
      <c r="B43" s="266">
        <f>'11.F&amp;V Crop Production details'!B54</f>
        <v>0</v>
      </c>
      <c r="C43" s="266">
        <f>'11.F&amp;V Crop Production details'!C54</f>
        <v>0</v>
      </c>
      <c r="D43" s="266">
        <f>'11.F&amp;V Crop Production details'!D54</f>
        <v>0</v>
      </c>
      <c r="E43" s="266">
        <f>'11.F&amp;V Crop Production details'!E54</f>
        <v>0</v>
      </c>
      <c r="F43" s="266">
        <f>'11.F&amp;V Crop Production details'!F54</f>
        <v>0</v>
      </c>
      <c r="G43" s="266">
        <f>'11.F&amp;V Crop Production details'!G54</f>
        <v>0</v>
      </c>
      <c r="H43" s="266">
        <f>'11.F&amp;V Crop Production details'!H54</f>
        <v>0</v>
      </c>
    </row>
    <row r="44" spans="1:8" ht="15.75" customHeight="1">
      <c r="A44" s="266" t="str">
        <f>'11.F&amp;V Crop Production details'!A55</f>
        <v>Onion</v>
      </c>
      <c r="B44" s="266">
        <f>'11.F&amp;V Crop Production details'!B55</f>
        <v>0</v>
      </c>
      <c r="C44" s="266">
        <f>'11.F&amp;V Crop Production details'!C55</f>
        <v>0</v>
      </c>
      <c r="D44" s="266">
        <f>'11.F&amp;V Crop Production details'!D55</f>
        <v>0</v>
      </c>
      <c r="E44" s="266">
        <f>'11.F&amp;V Crop Production details'!E55</f>
        <v>0</v>
      </c>
      <c r="F44" s="266">
        <f>'11.F&amp;V Crop Production details'!F55</f>
        <v>0</v>
      </c>
      <c r="G44" s="266">
        <f>'11.F&amp;V Crop Production details'!G55</f>
        <v>0</v>
      </c>
      <c r="H44" s="266">
        <f>'11.F&amp;V Crop Production details'!H55</f>
        <v>0</v>
      </c>
    </row>
    <row r="45" spans="1:8" ht="15.75" customHeight="1">
      <c r="A45" s="266" t="str">
        <f>'11.F&amp;V Crop Production details'!A56</f>
        <v>Tomato</v>
      </c>
      <c r="B45" s="266">
        <f>'11.F&amp;V Crop Production details'!B56</f>
        <v>0</v>
      </c>
      <c r="C45" s="266">
        <f>'11.F&amp;V Crop Production details'!C56</f>
        <v>0</v>
      </c>
      <c r="D45" s="266">
        <f>'11.F&amp;V Crop Production details'!D56</f>
        <v>0</v>
      </c>
      <c r="E45" s="266">
        <f>'11.F&amp;V Crop Production details'!E56</f>
        <v>0</v>
      </c>
      <c r="F45" s="266">
        <f>'11.F&amp;V Crop Production details'!F56</f>
        <v>0</v>
      </c>
      <c r="G45" s="266">
        <f>'11.F&amp;V Crop Production details'!G56</f>
        <v>0</v>
      </c>
      <c r="H45" s="266">
        <f>'11.F&amp;V Crop Production details'!H56</f>
        <v>0</v>
      </c>
    </row>
    <row r="46" spans="1:8" ht="15.75" customHeight="1">
      <c r="A46" s="266" t="str">
        <f>'11.F&amp;V Crop Production details'!A57</f>
        <v>Okra</v>
      </c>
      <c r="B46" s="266">
        <f>'11.F&amp;V Crop Production details'!B57</f>
        <v>0</v>
      </c>
      <c r="C46" s="266">
        <f>'11.F&amp;V Crop Production details'!C57</f>
        <v>0</v>
      </c>
      <c r="D46" s="266">
        <f>'11.F&amp;V Crop Production details'!D57</f>
        <v>0</v>
      </c>
      <c r="E46" s="266">
        <f>'11.F&amp;V Crop Production details'!E57</f>
        <v>0</v>
      </c>
      <c r="F46" s="266">
        <f>'11.F&amp;V Crop Production details'!F57</f>
        <v>0</v>
      </c>
      <c r="G46" s="266">
        <f>'11.F&amp;V Crop Production details'!G57</f>
        <v>0</v>
      </c>
      <c r="H46" s="266">
        <f>'11.F&amp;V Crop Production details'!H57</f>
        <v>0</v>
      </c>
    </row>
    <row r="47" spans="1:8" ht="15.75" customHeight="1">
      <c r="A47" s="266" t="str">
        <f>'11.F&amp;V Crop Production details'!A58</f>
        <v>Chilli</v>
      </c>
      <c r="B47" s="266">
        <f>'11.F&amp;V Crop Production details'!B58</f>
        <v>0</v>
      </c>
      <c r="C47" s="266">
        <f>'11.F&amp;V Crop Production details'!C58</f>
        <v>0</v>
      </c>
      <c r="D47" s="266">
        <f>'11.F&amp;V Crop Production details'!D58</f>
        <v>0</v>
      </c>
      <c r="E47" s="266">
        <f>'11.F&amp;V Crop Production details'!E58</f>
        <v>0</v>
      </c>
      <c r="F47" s="266">
        <f>'11.F&amp;V Crop Production details'!F58</f>
        <v>0</v>
      </c>
      <c r="G47" s="266">
        <f>'11.F&amp;V Crop Production details'!G58</f>
        <v>0</v>
      </c>
      <c r="H47" s="266">
        <f>'11.F&amp;V Crop Production details'!H58</f>
        <v>0</v>
      </c>
    </row>
    <row r="48" spans="1:8" ht="15.75" customHeight="1">
      <c r="A48" s="266" t="str">
        <f>'11.F&amp;V Crop Production details'!A59</f>
        <v>Brinjal</v>
      </c>
      <c r="B48" s="266">
        <f>'11.F&amp;V Crop Production details'!B59</f>
        <v>0</v>
      </c>
      <c r="C48" s="266">
        <f>'11.F&amp;V Crop Production details'!C59</f>
        <v>0</v>
      </c>
      <c r="D48" s="266">
        <f>'11.F&amp;V Crop Production details'!D59</f>
        <v>0</v>
      </c>
      <c r="E48" s="266">
        <f>'11.F&amp;V Crop Production details'!E59</f>
        <v>0</v>
      </c>
      <c r="F48" s="266">
        <f>'11.F&amp;V Crop Production details'!F59</f>
        <v>0</v>
      </c>
      <c r="G48" s="266">
        <f>'11.F&amp;V Crop Production details'!G59</f>
        <v>0</v>
      </c>
      <c r="H48" s="266">
        <f>'11.F&amp;V Crop Production details'!H59</f>
        <v>0</v>
      </c>
    </row>
    <row r="49" spans="1:8" ht="15.75" customHeight="1">
      <c r="A49" s="266">
        <f>'11.F&amp;V Crop Production details'!A60</f>
        <v>0</v>
      </c>
      <c r="B49" s="266">
        <f>'11.F&amp;V Crop Production details'!B60</f>
        <v>0</v>
      </c>
      <c r="C49" s="266">
        <f>'11.F&amp;V Crop Production details'!C60</f>
        <v>0</v>
      </c>
      <c r="D49" s="266">
        <f>'11.F&amp;V Crop Production details'!D60</f>
        <v>0</v>
      </c>
      <c r="E49" s="266">
        <f>'11.F&amp;V Crop Production details'!E60</f>
        <v>0</v>
      </c>
      <c r="F49" s="266">
        <f>'11.F&amp;V Crop Production details'!F60</f>
        <v>0</v>
      </c>
      <c r="G49" s="266">
        <f>'11.F&amp;V Crop Production details'!G60</f>
        <v>0</v>
      </c>
      <c r="H49" s="266">
        <f>'11.F&amp;V Crop Production details'!H60</f>
        <v>0</v>
      </c>
    </row>
    <row r="50" spans="1:8" ht="15.75" customHeight="1">
      <c r="A50" s="266">
        <f>'11.F&amp;V Crop Production details'!A61</f>
        <v>0</v>
      </c>
      <c r="B50" s="266">
        <f>'11.F&amp;V Crop Production details'!B61</f>
        <v>0</v>
      </c>
      <c r="C50" s="266">
        <f>'11.F&amp;V Crop Production details'!C61</f>
        <v>0</v>
      </c>
      <c r="D50" s="266">
        <f>'11.F&amp;V Crop Production details'!D61</f>
        <v>0</v>
      </c>
      <c r="E50" s="266">
        <f>'11.F&amp;V Crop Production details'!E61</f>
        <v>0</v>
      </c>
      <c r="F50" s="266">
        <f>'11.F&amp;V Crop Production details'!F61</f>
        <v>0</v>
      </c>
      <c r="G50" s="266">
        <f>'11.F&amp;V Crop Production details'!G61</f>
        <v>0</v>
      </c>
      <c r="H50" s="266">
        <f>'11.F&amp;V Crop Production details'!H61</f>
        <v>0</v>
      </c>
    </row>
    <row r="51" spans="1:8" ht="15.75" customHeight="1">
      <c r="A51" s="266">
        <f>'11.F&amp;V Crop Production details'!A62</f>
        <v>0</v>
      </c>
      <c r="B51" s="266">
        <f>'11.F&amp;V Crop Production details'!B62</f>
        <v>0</v>
      </c>
      <c r="C51" s="266">
        <f>'11.F&amp;V Crop Production details'!C62</f>
        <v>0</v>
      </c>
      <c r="D51" s="266">
        <f>'11.F&amp;V Crop Production details'!D62</f>
        <v>0</v>
      </c>
      <c r="E51" s="266">
        <f>'11.F&amp;V Crop Production details'!E62</f>
        <v>0</v>
      </c>
      <c r="F51" s="266">
        <f>'11.F&amp;V Crop Production details'!F62</f>
        <v>0</v>
      </c>
      <c r="G51" s="266">
        <f>'11.F&amp;V Crop Production details'!G62</f>
        <v>0</v>
      </c>
      <c r="H51" s="266">
        <f>'11.F&amp;V Crop Production details'!H62</f>
        <v>0</v>
      </c>
    </row>
    <row r="52" spans="1:8" ht="15.75" customHeight="1">
      <c r="A52" s="266">
        <f>'11.F&amp;V Crop Production details'!A63</f>
        <v>0</v>
      </c>
      <c r="B52" s="266">
        <f>'11.F&amp;V Crop Production details'!B63</f>
        <v>0</v>
      </c>
      <c r="C52" s="266">
        <f>'11.F&amp;V Crop Production details'!C63</f>
        <v>0</v>
      </c>
      <c r="D52" s="266">
        <f>'11.F&amp;V Crop Production details'!D63</f>
        <v>0</v>
      </c>
      <c r="E52" s="266">
        <f>'11.F&amp;V Crop Production details'!E63</f>
        <v>0</v>
      </c>
      <c r="F52" s="266">
        <f>'11.F&amp;V Crop Production details'!F63</f>
        <v>0</v>
      </c>
      <c r="G52" s="266">
        <f>'11.F&amp;V Crop Production details'!G63</f>
        <v>0</v>
      </c>
      <c r="H52" s="266">
        <f>'11.F&amp;V Crop Production details'!H63</f>
        <v>0</v>
      </c>
    </row>
    <row r="53" spans="1:8" ht="15.75" customHeight="1">
      <c r="A53" s="266">
        <f>'11.F&amp;V Crop Production details'!A64</f>
        <v>0</v>
      </c>
      <c r="B53" s="266"/>
      <c r="C53" s="266"/>
      <c r="D53" s="266"/>
      <c r="E53" s="266"/>
      <c r="F53" s="266"/>
      <c r="G53" s="266"/>
      <c r="H53" s="266"/>
    </row>
    <row r="54" spans="1:8" ht="15.75" customHeight="1">
      <c r="A54" s="266">
        <f>'11.F&amp;V Crop Production details'!A65</f>
        <v>0</v>
      </c>
      <c r="B54" s="266"/>
      <c r="C54" s="266"/>
      <c r="D54" s="266"/>
      <c r="E54" s="266"/>
      <c r="F54" s="266"/>
      <c r="G54" s="266"/>
      <c r="H54" s="266"/>
    </row>
    <row r="55" spans="1:8" ht="15.75" customHeight="1">
      <c r="A55" s="266">
        <f>'11.F&amp;V Crop Production details'!A66</f>
        <v>0</v>
      </c>
      <c r="B55" s="266"/>
      <c r="C55" s="266"/>
      <c r="D55" s="266"/>
      <c r="E55" s="266"/>
      <c r="F55" s="266"/>
      <c r="G55" s="266"/>
      <c r="H55" s="266"/>
    </row>
    <row r="56" spans="1:8" ht="15.75" customHeight="1">
      <c r="A56" s="266" t="str">
        <f>'11.F&amp;V Crop Production details'!A67</f>
        <v>Pomegranate</v>
      </c>
      <c r="B56" s="266">
        <f>'11.F&amp;V Crop Production details'!B67</f>
        <v>0</v>
      </c>
      <c r="C56" s="266">
        <f>'11.F&amp;V Crop Production details'!C67</f>
        <v>0</v>
      </c>
      <c r="D56" s="266">
        <f>'11.F&amp;V Crop Production details'!D67</f>
        <v>0</v>
      </c>
      <c r="E56" s="266">
        <f>'11.F&amp;V Crop Production details'!E67</f>
        <v>0</v>
      </c>
      <c r="F56" s="266">
        <f>'11.F&amp;V Crop Production details'!F67</f>
        <v>0</v>
      </c>
      <c r="G56" s="266">
        <f>'11.F&amp;V Crop Production details'!G67</f>
        <v>0</v>
      </c>
      <c r="H56" s="266">
        <f>'11.F&amp;V Crop Production details'!H67</f>
        <v>0</v>
      </c>
    </row>
    <row r="57" spans="1:8" ht="15.75" customHeight="1">
      <c r="A57" s="266" t="str">
        <f>'11.F&amp;V Crop Production details'!A68</f>
        <v>Custard Apple</v>
      </c>
      <c r="B57" s="266">
        <f>'11.F&amp;V Crop Production details'!B68</f>
        <v>0</v>
      </c>
      <c r="C57" s="266">
        <f>'11.F&amp;V Crop Production details'!C68</f>
        <v>0</v>
      </c>
      <c r="D57" s="266">
        <f>'11.F&amp;V Crop Production details'!D68</f>
        <v>0</v>
      </c>
      <c r="E57" s="266">
        <f>'11.F&amp;V Crop Production details'!E68</f>
        <v>0</v>
      </c>
      <c r="F57" s="266">
        <f>'11.F&amp;V Crop Production details'!F68</f>
        <v>0</v>
      </c>
      <c r="G57" s="266">
        <f>'11.F&amp;V Crop Production details'!G68</f>
        <v>0</v>
      </c>
      <c r="H57" s="266">
        <f>'11.F&amp;V Crop Production details'!H68</f>
        <v>0</v>
      </c>
    </row>
    <row r="58" spans="1:8" ht="15.75" customHeight="1">
      <c r="A58" s="266" t="str">
        <f>'11.F&amp;V Crop Production details'!A69</f>
        <v>Guava</v>
      </c>
      <c r="B58" s="266">
        <f>'11.F&amp;V Crop Production details'!B69</f>
        <v>0</v>
      </c>
      <c r="C58" s="266">
        <f>'11.F&amp;V Crop Production details'!C69</f>
        <v>0</v>
      </c>
      <c r="D58" s="266">
        <f>'11.F&amp;V Crop Production details'!D69</f>
        <v>0</v>
      </c>
      <c r="E58" s="266">
        <f>'11.F&amp;V Crop Production details'!E69</f>
        <v>0</v>
      </c>
      <c r="F58" s="266">
        <f>'11.F&amp;V Crop Production details'!F69</f>
        <v>0</v>
      </c>
      <c r="G58" s="266">
        <f>'11.F&amp;V Crop Production details'!G69</f>
        <v>0</v>
      </c>
      <c r="H58" s="266">
        <f>'11.F&amp;V Crop Production details'!H69</f>
        <v>0</v>
      </c>
    </row>
    <row r="59" spans="1:8" ht="15.75" customHeight="1">
      <c r="A59" s="266" t="str">
        <f>'11.F&amp;V Crop Production details'!A70</f>
        <v>Citrus</v>
      </c>
      <c r="B59" s="266">
        <f>'11.F&amp;V Crop Production details'!B70</f>
        <v>0</v>
      </c>
      <c r="C59" s="266">
        <f>'11.F&amp;V Crop Production details'!C70</f>
        <v>0</v>
      </c>
      <c r="D59" s="266">
        <f>'11.F&amp;V Crop Production details'!D70</f>
        <v>0</v>
      </c>
      <c r="E59" s="266">
        <f>'11.F&amp;V Crop Production details'!E70</f>
        <v>0</v>
      </c>
      <c r="F59" s="266">
        <f>'11.F&amp;V Crop Production details'!F70</f>
        <v>0</v>
      </c>
      <c r="G59" s="266">
        <f>'11.F&amp;V Crop Production details'!G70</f>
        <v>0</v>
      </c>
      <c r="H59" s="266">
        <f>'11.F&amp;V Crop Production details'!H70</f>
        <v>0</v>
      </c>
    </row>
    <row r="60" spans="1:8" ht="15.75" customHeight="1">
      <c r="A60" s="266"/>
      <c r="B60" s="266"/>
      <c r="C60" s="266"/>
      <c r="D60" s="266"/>
      <c r="E60" s="266"/>
      <c r="F60" s="266"/>
      <c r="G60" s="266"/>
      <c r="H60" s="266"/>
    </row>
    <row r="61" spans="1:8" ht="15.75" customHeight="1">
      <c r="A61" s="79" t="s">
        <v>578</v>
      </c>
      <c r="B61" s="266">
        <f t="shared" ref="B61:H61" si="2">SUM(B35:B59)</f>
        <v>0</v>
      </c>
      <c r="C61" s="266">
        <f t="shared" si="2"/>
        <v>0</v>
      </c>
      <c r="D61" s="266">
        <f t="shared" si="2"/>
        <v>0</v>
      </c>
      <c r="E61" s="266">
        <f t="shared" si="2"/>
        <v>0</v>
      </c>
      <c r="F61" s="266">
        <f t="shared" si="2"/>
        <v>0</v>
      </c>
      <c r="G61" s="266">
        <f t="shared" si="2"/>
        <v>0</v>
      </c>
      <c r="H61" s="266">
        <f t="shared" si="2"/>
        <v>0</v>
      </c>
    </row>
    <row r="62" spans="1:8" ht="15.75" customHeight="1">
      <c r="A62" s="267" t="s">
        <v>579</v>
      </c>
      <c r="B62" s="268">
        <v>0</v>
      </c>
      <c r="C62" s="268">
        <v>0</v>
      </c>
      <c r="D62" s="268">
        <v>0</v>
      </c>
      <c r="E62" s="268">
        <v>0</v>
      </c>
      <c r="F62" s="268">
        <v>0</v>
      </c>
      <c r="G62" s="268">
        <v>0</v>
      </c>
      <c r="H62" s="268">
        <v>0</v>
      </c>
    </row>
    <row r="63" spans="1:8" ht="15.75" customHeight="1">
      <c r="A63" s="267" t="s">
        <v>580</v>
      </c>
      <c r="B63" s="268">
        <f t="shared" ref="B63:H63" si="3">1-B62</f>
        <v>1</v>
      </c>
      <c r="C63" s="268">
        <f t="shared" si="3"/>
        <v>1</v>
      </c>
      <c r="D63" s="268">
        <f t="shared" si="3"/>
        <v>1</v>
      </c>
      <c r="E63" s="268">
        <f t="shared" si="3"/>
        <v>1</v>
      </c>
      <c r="F63" s="268">
        <f t="shared" si="3"/>
        <v>1</v>
      </c>
      <c r="G63" s="268">
        <f t="shared" si="3"/>
        <v>1</v>
      </c>
      <c r="H63" s="268">
        <f t="shared" si="3"/>
        <v>1</v>
      </c>
    </row>
    <row r="64" spans="1:8" ht="15.75" customHeight="1">
      <c r="A64" s="267"/>
      <c r="B64" s="268"/>
      <c r="C64" s="268"/>
      <c r="D64" s="268"/>
      <c r="E64" s="268"/>
      <c r="F64" s="268"/>
      <c r="G64" s="268"/>
      <c r="H64" s="268"/>
    </row>
    <row r="65" spans="1:8" ht="15.75" customHeight="1">
      <c r="A65" s="267" t="s">
        <v>581</v>
      </c>
      <c r="B65" s="269">
        <f t="shared" ref="B65:H65" si="4">B33*B62</f>
        <v>0</v>
      </c>
      <c r="C65" s="269">
        <f t="shared" si="4"/>
        <v>0</v>
      </c>
      <c r="D65" s="269">
        <f t="shared" si="4"/>
        <v>0</v>
      </c>
      <c r="E65" s="269">
        <f t="shared" si="4"/>
        <v>0</v>
      </c>
      <c r="F65" s="269">
        <f t="shared" si="4"/>
        <v>0</v>
      </c>
      <c r="G65" s="269">
        <f t="shared" si="4"/>
        <v>0</v>
      </c>
      <c r="H65" s="269">
        <f t="shared" si="4"/>
        <v>0</v>
      </c>
    </row>
    <row r="66" spans="1:8" ht="15.75" customHeight="1">
      <c r="A66" s="79"/>
      <c r="B66" s="266"/>
      <c r="C66" s="266"/>
      <c r="D66" s="266"/>
      <c r="E66" s="266"/>
      <c r="F66" s="266"/>
      <c r="G66" s="266"/>
      <c r="H66" s="266"/>
    </row>
    <row r="67" spans="1:8" ht="15.75" customHeight="1">
      <c r="A67" s="325" t="s">
        <v>771</v>
      </c>
      <c r="B67" s="266"/>
      <c r="C67" s="266"/>
      <c r="D67" s="266"/>
      <c r="E67" s="266"/>
      <c r="F67" s="266"/>
      <c r="G67" s="266"/>
      <c r="H67" s="266"/>
    </row>
    <row r="68" spans="1:8" ht="15.75" customHeight="1">
      <c r="A68" s="270" t="str">
        <f t="shared" ref="A68:A89" si="5">A11</f>
        <v>Soybean</v>
      </c>
      <c r="B68" s="270">
        <f t="shared" ref="B68:B89" si="6">B11*$B$63</f>
        <v>0</v>
      </c>
      <c r="C68" s="270">
        <f t="shared" ref="C68:C83" si="7">C11*$C$63</f>
        <v>0</v>
      </c>
      <c r="D68" s="270">
        <f t="shared" ref="D68:D83" si="8">D11*$D$63</f>
        <v>0</v>
      </c>
      <c r="E68" s="270">
        <f t="shared" ref="E68:E83" si="9">E11*$E$63</f>
        <v>0</v>
      </c>
      <c r="F68" s="270">
        <f t="shared" ref="F68:F83" si="10">F11*$F$63</f>
        <v>0</v>
      </c>
      <c r="G68" s="270">
        <f t="shared" ref="G68:G83" si="11">G11*$G$63</f>
        <v>0</v>
      </c>
      <c r="H68" s="270">
        <f t="shared" ref="H68:H83" si="12">H11*$H$63</f>
        <v>0</v>
      </c>
    </row>
    <row r="69" spans="1:8" ht="15.75" customHeight="1">
      <c r="A69" s="270" t="str">
        <f t="shared" si="5"/>
        <v>Red Gram/Tur</v>
      </c>
      <c r="B69" s="270">
        <f t="shared" si="6"/>
        <v>0</v>
      </c>
      <c r="C69" s="270">
        <f t="shared" si="7"/>
        <v>0</v>
      </c>
      <c r="D69" s="270">
        <f t="shared" si="8"/>
        <v>0</v>
      </c>
      <c r="E69" s="270">
        <f t="shared" si="9"/>
        <v>0</v>
      </c>
      <c r="F69" s="270">
        <f t="shared" si="10"/>
        <v>0</v>
      </c>
      <c r="G69" s="270">
        <f t="shared" si="11"/>
        <v>0</v>
      </c>
      <c r="H69" s="270">
        <f t="shared" si="12"/>
        <v>0</v>
      </c>
    </row>
    <row r="70" spans="1:8" ht="15.75" customHeight="1">
      <c r="A70" s="270" t="str">
        <f t="shared" si="5"/>
        <v>Turmeric</v>
      </c>
      <c r="B70" s="270">
        <f t="shared" si="6"/>
        <v>3779.9999999999995</v>
      </c>
      <c r="C70" s="270">
        <f t="shared" si="7"/>
        <v>3779.9999999999995</v>
      </c>
      <c r="D70" s="270">
        <f t="shared" si="8"/>
        <v>3779.9999999999995</v>
      </c>
      <c r="E70" s="270">
        <f t="shared" si="9"/>
        <v>3779.9999999999995</v>
      </c>
      <c r="F70" s="270">
        <f t="shared" si="10"/>
        <v>3779.9999999999995</v>
      </c>
      <c r="G70" s="270">
        <f t="shared" si="11"/>
        <v>3779.9999999999995</v>
      </c>
      <c r="H70" s="270">
        <f t="shared" si="12"/>
        <v>3779.9999999999995</v>
      </c>
    </row>
    <row r="71" spans="1:8" ht="15.75" customHeight="1">
      <c r="A71" s="270" t="str">
        <f t="shared" si="5"/>
        <v>Green Gram/ Moong</v>
      </c>
      <c r="B71" s="270">
        <f t="shared" si="6"/>
        <v>0</v>
      </c>
      <c r="C71" s="270">
        <f t="shared" si="7"/>
        <v>0</v>
      </c>
      <c r="D71" s="270">
        <f t="shared" si="8"/>
        <v>0</v>
      </c>
      <c r="E71" s="270">
        <f t="shared" si="9"/>
        <v>0</v>
      </c>
      <c r="F71" s="270">
        <f t="shared" si="10"/>
        <v>0</v>
      </c>
      <c r="G71" s="270">
        <f t="shared" si="11"/>
        <v>0</v>
      </c>
      <c r="H71" s="270">
        <f t="shared" si="12"/>
        <v>0</v>
      </c>
    </row>
    <row r="72" spans="1:8" ht="15.75" customHeight="1">
      <c r="A72" s="270" t="str">
        <f t="shared" si="5"/>
        <v>Maize</v>
      </c>
      <c r="B72" s="270">
        <f t="shared" si="6"/>
        <v>0</v>
      </c>
      <c r="C72" s="270">
        <f t="shared" si="7"/>
        <v>0</v>
      </c>
      <c r="D72" s="270">
        <f t="shared" si="8"/>
        <v>0</v>
      </c>
      <c r="E72" s="270">
        <f t="shared" si="9"/>
        <v>0</v>
      </c>
      <c r="F72" s="270">
        <f t="shared" si="10"/>
        <v>0</v>
      </c>
      <c r="G72" s="270">
        <f t="shared" si="11"/>
        <v>0</v>
      </c>
      <c r="H72" s="270">
        <f t="shared" si="12"/>
        <v>0</v>
      </c>
    </row>
    <row r="73" spans="1:8" ht="15.75" customHeight="1">
      <c r="A73" s="270" t="str">
        <f t="shared" si="5"/>
        <v>Black Gram/Udid</v>
      </c>
      <c r="B73" s="270">
        <f t="shared" si="6"/>
        <v>0</v>
      </c>
      <c r="C73" s="270">
        <f t="shared" si="7"/>
        <v>0</v>
      </c>
      <c r="D73" s="270">
        <f t="shared" si="8"/>
        <v>0</v>
      </c>
      <c r="E73" s="270">
        <f t="shared" si="9"/>
        <v>0</v>
      </c>
      <c r="F73" s="270">
        <f t="shared" si="10"/>
        <v>0</v>
      </c>
      <c r="G73" s="270">
        <f t="shared" si="11"/>
        <v>0</v>
      </c>
      <c r="H73" s="270">
        <f t="shared" si="12"/>
        <v>0</v>
      </c>
    </row>
    <row r="74" spans="1:8" ht="15.75" customHeight="1">
      <c r="A74" s="270" t="str">
        <f t="shared" si="5"/>
        <v>Bajra</v>
      </c>
      <c r="B74" s="270">
        <f t="shared" si="6"/>
        <v>0</v>
      </c>
      <c r="C74" s="270">
        <f t="shared" si="7"/>
        <v>0</v>
      </c>
      <c r="D74" s="270">
        <f t="shared" si="8"/>
        <v>0</v>
      </c>
      <c r="E74" s="270">
        <f t="shared" si="9"/>
        <v>0</v>
      </c>
      <c r="F74" s="270">
        <f t="shared" si="10"/>
        <v>0</v>
      </c>
      <c r="G74" s="270">
        <f t="shared" si="11"/>
        <v>0</v>
      </c>
      <c r="H74" s="270">
        <f t="shared" si="12"/>
        <v>0</v>
      </c>
    </row>
    <row r="75" spans="1:8" ht="15.75" customHeight="1">
      <c r="A75" s="270" t="str">
        <f t="shared" si="5"/>
        <v>Jawar</v>
      </c>
      <c r="B75" s="270">
        <f t="shared" si="6"/>
        <v>0</v>
      </c>
      <c r="C75" s="270">
        <f t="shared" si="7"/>
        <v>0</v>
      </c>
      <c r="D75" s="270">
        <f t="shared" si="8"/>
        <v>0</v>
      </c>
      <c r="E75" s="270">
        <f t="shared" si="9"/>
        <v>0</v>
      </c>
      <c r="F75" s="270">
        <f t="shared" si="10"/>
        <v>0</v>
      </c>
      <c r="G75" s="270">
        <f t="shared" si="11"/>
        <v>0</v>
      </c>
      <c r="H75" s="270">
        <f t="shared" si="12"/>
        <v>0</v>
      </c>
    </row>
    <row r="76" spans="1:8" ht="15.75" customHeight="1">
      <c r="A76" s="270" t="str">
        <f t="shared" si="5"/>
        <v>Sunflower</v>
      </c>
      <c r="B76" s="270">
        <f t="shared" si="6"/>
        <v>0</v>
      </c>
      <c r="C76" s="270">
        <f t="shared" si="7"/>
        <v>0</v>
      </c>
      <c r="D76" s="270">
        <f t="shared" si="8"/>
        <v>0</v>
      </c>
      <c r="E76" s="270">
        <f t="shared" si="9"/>
        <v>0</v>
      </c>
      <c r="F76" s="270">
        <f t="shared" si="10"/>
        <v>0</v>
      </c>
      <c r="G76" s="270">
        <f t="shared" si="11"/>
        <v>0</v>
      </c>
      <c r="H76" s="270">
        <f t="shared" si="12"/>
        <v>0</v>
      </c>
    </row>
    <row r="77" spans="1:8" ht="15.75" customHeight="1">
      <c r="A77" s="270" t="str">
        <f t="shared" si="5"/>
        <v>Wheat</v>
      </c>
      <c r="B77" s="270">
        <f t="shared" si="6"/>
        <v>0</v>
      </c>
      <c r="C77" s="270">
        <f t="shared" si="7"/>
        <v>0</v>
      </c>
      <c r="D77" s="270">
        <f t="shared" si="8"/>
        <v>0</v>
      </c>
      <c r="E77" s="270">
        <f t="shared" si="9"/>
        <v>0</v>
      </c>
      <c r="F77" s="270">
        <f t="shared" si="10"/>
        <v>0</v>
      </c>
      <c r="G77" s="270">
        <f t="shared" si="11"/>
        <v>0</v>
      </c>
      <c r="H77" s="270">
        <f t="shared" si="12"/>
        <v>0</v>
      </c>
    </row>
    <row r="78" spans="1:8" ht="15.75" customHeight="1">
      <c r="A78" s="270" t="str">
        <f t="shared" si="5"/>
        <v>Bengal Gram/Channa</v>
      </c>
      <c r="B78" s="270">
        <f t="shared" si="6"/>
        <v>0</v>
      </c>
      <c r="C78" s="270">
        <f t="shared" si="7"/>
        <v>0</v>
      </c>
      <c r="D78" s="270">
        <f t="shared" si="8"/>
        <v>0</v>
      </c>
      <c r="E78" s="270">
        <f t="shared" si="9"/>
        <v>0</v>
      </c>
      <c r="F78" s="270">
        <f t="shared" si="10"/>
        <v>0</v>
      </c>
      <c r="G78" s="270">
        <f t="shared" si="11"/>
        <v>0</v>
      </c>
      <c r="H78" s="270">
        <f t="shared" si="12"/>
        <v>0</v>
      </c>
    </row>
    <row r="79" spans="1:8" ht="15.75" customHeight="1">
      <c r="A79" s="270" t="str">
        <f t="shared" si="5"/>
        <v>Jawar</v>
      </c>
      <c r="B79" s="270">
        <f t="shared" si="6"/>
        <v>0</v>
      </c>
      <c r="C79" s="270">
        <f t="shared" si="7"/>
        <v>0</v>
      </c>
      <c r="D79" s="270">
        <f t="shared" si="8"/>
        <v>0</v>
      </c>
      <c r="E79" s="270">
        <f t="shared" si="9"/>
        <v>0</v>
      </c>
      <c r="F79" s="270">
        <f t="shared" si="10"/>
        <v>0</v>
      </c>
      <c r="G79" s="270">
        <f t="shared" si="11"/>
        <v>0</v>
      </c>
      <c r="H79" s="270">
        <f t="shared" si="12"/>
        <v>0</v>
      </c>
    </row>
    <row r="80" spans="1:8" ht="15.75" customHeight="1">
      <c r="A80" s="270" t="str">
        <f t="shared" si="5"/>
        <v>Maize</v>
      </c>
      <c r="B80" s="270">
        <f t="shared" si="6"/>
        <v>0</v>
      </c>
      <c r="C80" s="270">
        <f t="shared" si="7"/>
        <v>0</v>
      </c>
      <c r="D80" s="270">
        <f t="shared" si="8"/>
        <v>0</v>
      </c>
      <c r="E80" s="270">
        <f t="shared" si="9"/>
        <v>0</v>
      </c>
      <c r="F80" s="270">
        <f t="shared" si="10"/>
        <v>0</v>
      </c>
      <c r="G80" s="270">
        <f t="shared" si="11"/>
        <v>0</v>
      </c>
      <c r="H80" s="270">
        <f t="shared" si="12"/>
        <v>0</v>
      </c>
    </row>
    <row r="81" spans="1:12" ht="15.75" customHeight="1">
      <c r="A81" s="270" t="str">
        <f t="shared" si="5"/>
        <v>Safflower</v>
      </c>
      <c r="B81" s="270">
        <f t="shared" si="6"/>
        <v>0</v>
      </c>
      <c r="C81" s="270">
        <f t="shared" si="7"/>
        <v>0</v>
      </c>
      <c r="D81" s="270">
        <f t="shared" si="8"/>
        <v>0</v>
      </c>
      <c r="E81" s="270">
        <f t="shared" si="9"/>
        <v>0</v>
      </c>
      <c r="F81" s="270">
        <f t="shared" si="10"/>
        <v>0</v>
      </c>
      <c r="G81" s="270">
        <f t="shared" si="11"/>
        <v>0</v>
      </c>
      <c r="H81" s="270">
        <f t="shared" si="12"/>
        <v>0</v>
      </c>
    </row>
    <row r="82" spans="1:12" ht="15.75" customHeight="1">
      <c r="A82" s="270">
        <f t="shared" si="5"/>
        <v>0</v>
      </c>
      <c r="B82" s="270">
        <f t="shared" si="6"/>
        <v>0</v>
      </c>
      <c r="C82" s="270">
        <f t="shared" si="7"/>
        <v>0</v>
      </c>
      <c r="D82" s="270">
        <f t="shared" si="8"/>
        <v>0</v>
      </c>
      <c r="E82" s="270">
        <f t="shared" si="9"/>
        <v>0</v>
      </c>
      <c r="F82" s="270">
        <f t="shared" si="10"/>
        <v>0</v>
      </c>
      <c r="G82" s="270">
        <f t="shared" si="11"/>
        <v>0</v>
      </c>
      <c r="H82" s="270">
        <f t="shared" si="12"/>
        <v>0</v>
      </c>
    </row>
    <row r="83" spans="1:12" ht="15.75" customHeight="1">
      <c r="A83" s="270">
        <f t="shared" si="5"/>
        <v>0</v>
      </c>
      <c r="B83" s="270">
        <f t="shared" si="6"/>
        <v>0</v>
      </c>
      <c r="C83" s="270">
        <f t="shared" si="7"/>
        <v>0</v>
      </c>
      <c r="D83" s="270">
        <f t="shared" si="8"/>
        <v>0</v>
      </c>
      <c r="E83" s="270">
        <f t="shared" si="9"/>
        <v>0</v>
      </c>
      <c r="F83" s="270">
        <f t="shared" si="10"/>
        <v>0</v>
      </c>
      <c r="G83" s="270">
        <f t="shared" si="11"/>
        <v>0</v>
      </c>
      <c r="H83" s="270">
        <f t="shared" si="12"/>
        <v>0</v>
      </c>
    </row>
    <row r="84" spans="1:12" ht="15.75" customHeight="1">
      <c r="A84" s="270">
        <f t="shared" si="5"/>
        <v>0</v>
      </c>
      <c r="B84" s="270">
        <f t="shared" si="6"/>
        <v>0</v>
      </c>
      <c r="C84" s="270">
        <f t="shared" ref="C84:H84" si="13">C27*$B$63</f>
        <v>0</v>
      </c>
      <c r="D84" s="270">
        <f t="shared" si="13"/>
        <v>0</v>
      </c>
      <c r="E84" s="270">
        <f t="shared" si="13"/>
        <v>0</v>
      </c>
      <c r="F84" s="270">
        <f t="shared" si="13"/>
        <v>0</v>
      </c>
      <c r="G84" s="270">
        <f t="shared" si="13"/>
        <v>0</v>
      </c>
      <c r="H84" s="270">
        <f t="shared" si="13"/>
        <v>0</v>
      </c>
    </row>
    <row r="85" spans="1:12" ht="15.75" customHeight="1">
      <c r="A85" s="270" t="str">
        <f t="shared" si="5"/>
        <v>Groundnut</v>
      </c>
      <c r="B85" s="270">
        <f t="shared" si="6"/>
        <v>0</v>
      </c>
      <c r="C85" s="270">
        <f t="shared" ref="C85:H85" si="14">C28*$B$63</f>
        <v>0</v>
      </c>
      <c r="D85" s="270">
        <f t="shared" si="14"/>
        <v>0</v>
      </c>
      <c r="E85" s="270">
        <f t="shared" si="14"/>
        <v>0</v>
      </c>
      <c r="F85" s="270">
        <f t="shared" si="14"/>
        <v>0</v>
      </c>
      <c r="G85" s="270">
        <f t="shared" si="14"/>
        <v>0</v>
      </c>
      <c r="H85" s="270">
        <f t="shared" si="14"/>
        <v>0</v>
      </c>
    </row>
    <row r="86" spans="1:12" ht="15.75" customHeight="1">
      <c r="A86" s="270">
        <f t="shared" si="5"/>
        <v>0</v>
      </c>
      <c r="B86" s="270">
        <f t="shared" si="6"/>
        <v>0</v>
      </c>
      <c r="C86" s="270">
        <f t="shared" ref="C86:H86" si="15">C29*$B$63</f>
        <v>0</v>
      </c>
      <c r="D86" s="270">
        <f t="shared" si="15"/>
        <v>0</v>
      </c>
      <c r="E86" s="270">
        <f t="shared" si="15"/>
        <v>0</v>
      </c>
      <c r="F86" s="270">
        <f t="shared" si="15"/>
        <v>0</v>
      </c>
      <c r="G86" s="270">
        <f t="shared" si="15"/>
        <v>0</v>
      </c>
      <c r="H86" s="270">
        <f t="shared" si="15"/>
        <v>0</v>
      </c>
    </row>
    <row r="87" spans="1:12" ht="15.75" customHeight="1">
      <c r="A87" s="270">
        <f t="shared" si="5"/>
        <v>0</v>
      </c>
      <c r="B87" s="270">
        <f t="shared" si="6"/>
        <v>0</v>
      </c>
      <c r="C87" s="270">
        <f t="shared" ref="C87:H87" si="16">C30*$B$63</f>
        <v>0</v>
      </c>
      <c r="D87" s="270">
        <f t="shared" si="16"/>
        <v>0</v>
      </c>
      <c r="E87" s="270">
        <f t="shared" si="16"/>
        <v>0</v>
      </c>
      <c r="F87" s="270">
        <f t="shared" si="16"/>
        <v>0</v>
      </c>
      <c r="G87" s="270">
        <f t="shared" si="16"/>
        <v>0</v>
      </c>
      <c r="H87" s="270">
        <f t="shared" si="16"/>
        <v>0</v>
      </c>
    </row>
    <row r="88" spans="1:12" ht="15.75" customHeight="1">
      <c r="A88" s="270">
        <f t="shared" si="5"/>
        <v>0</v>
      </c>
      <c r="B88" s="270">
        <f t="shared" si="6"/>
        <v>0</v>
      </c>
      <c r="C88" s="270">
        <f t="shared" ref="C88:H88" si="17">C31*$B$63</f>
        <v>0</v>
      </c>
      <c r="D88" s="270">
        <f t="shared" si="17"/>
        <v>0</v>
      </c>
      <c r="E88" s="270">
        <f t="shared" si="17"/>
        <v>0</v>
      </c>
      <c r="F88" s="270">
        <f t="shared" si="17"/>
        <v>0</v>
      </c>
      <c r="G88" s="270">
        <f t="shared" si="17"/>
        <v>0</v>
      </c>
      <c r="H88" s="270">
        <f t="shared" si="17"/>
        <v>0</v>
      </c>
    </row>
    <row r="89" spans="1:12" ht="15.75" customHeight="1">
      <c r="A89" s="270">
        <f t="shared" si="5"/>
        <v>0</v>
      </c>
      <c r="B89" s="270">
        <f t="shared" si="6"/>
        <v>0</v>
      </c>
      <c r="C89" s="270">
        <f t="shared" ref="C89:H89" si="18">C32*$B$63</f>
        <v>0</v>
      </c>
      <c r="D89" s="270">
        <f t="shared" si="18"/>
        <v>0</v>
      </c>
      <c r="E89" s="270">
        <f t="shared" si="18"/>
        <v>0</v>
      </c>
      <c r="F89" s="270">
        <f t="shared" si="18"/>
        <v>0</v>
      </c>
      <c r="G89" s="270">
        <f t="shared" si="18"/>
        <v>0</v>
      </c>
      <c r="H89" s="270">
        <f t="shared" si="18"/>
        <v>0</v>
      </c>
    </row>
    <row r="90" spans="1:12" ht="15.75" customHeight="1">
      <c r="A90" s="76"/>
      <c r="B90" s="270"/>
      <c r="C90" s="270"/>
      <c r="D90" s="270"/>
      <c r="E90" s="270"/>
      <c r="F90" s="270"/>
      <c r="G90" s="270"/>
      <c r="H90" s="270"/>
      <c r="J90" s="48"/>
      <c r="K90" s="48"/>
      <c r="L90" s="48"/>
    </row>
    <row r="91" spans="1:12" ht="15.75" customHeight="1">
      <c r="A91" s="270" t="str">
        <f t="shared" ref="A91:A116" si="19">A34</f>
        <v>Fruit  &amp; Vegetables Crop Production Details</v>
      </c>
      <c r="B91" s="270"/>
      <c r="C91" s="270"/>
      <c r="D91" s="270"/>
      <c r="E91" s="270"/>
      <c r="F91" s="270"/>
      <c r="G91" s="270"/>
      <c r="H91" s="270"/>
      <c r="J91" s="48"/>
      <c r="K91" s="48"/>
      <c r="L91" s="48"/>
    </row>
    <row r="92" spans="1:12" ht="15.75" customHeight="1">
      <c r="A92" s="270" t="str">
        <f t="shared" si="19"/>
        <v>Onion</v>
      </c>
      <c r="B92" s="270">
        <f t="shared" ref="B92:H92" si="20">B35</f>
        <v>0</v>
      </c>
      <c r="C92" s="270">
        <f t="shared" si="20"/>
        <v>0</v>
      </c>
      <c r="D92" s="270">
        <f t="shared" si="20"/>
        <v>0</v>
      </c>
      <c r="E92" s="270">
        <f t="shared" si="20"/>
        <v>0</v>
      </c>
      <c r="F92" s="270">
        <f t="shared" si="20"/>
        <v>0</v>
      </c>
      <c r="G92" s="270">
        <f t="shared" si="20"/>
        <v>0</v>
      </c>
      <c r="H92" s="270">
        <f t="shared" si="20"/>
        <v>0</v>
      </c>
      <c r="J92" s="48"/>
      <c r="K92" s="48"/>
      <c r="L92" s="48"/>
    </row>
    <row r="93" spans="1:12" ht="15.75" customHeight="1">
      <c r="A93" s="270" t="str">
        <f t="shared" si="19"/>
        <v>Tomato</v>
      </c>
      <c r="B93" s="270">
        <f t="shared" ref="B93:H93" si="21">B36</f>
        <v>0</v>
      </c>
      <c r="C93" s="270">
        <f t="shared" si="21"/>
        <v>0</v>
      </c>
      <c r="D93" s="270">
        <f t="shared" si="21"/>
        <v>0</v>
      </c>
      <c r="E93" s="270">
        <f t="shared" si="21"/>
        <v>0</v>
      </c>
      <c r="F93" s="270">
        <f t="shared" si="21"/>
        <v>0</v>
      </c>
      <c r="G93" s="270">
        <f t="shared" si="21"/>
        <v>0</v>
      </c>
      <c r="H93" s="270">
        <f t="shared" si="21"/>
        <v>0</v>
      </c>
      <c r="J93" s="48"/>
      <c r="K93" s="48"/>
      <c r="L93" s="48"/>
    </row>
    <row r="94" spans="1:12" ht="15.75" customHeight="1">
      <c r="A94" s="270" t="str">
        <f t="shared" si="19"/>
        <v>Okra</v>
      </c>
      <c r="B94" s="270">
        <f t="shared" ref="B94:H94" si="22">B37</f>
        <v>0</v>
      </c>
      <c r="C94" s="270">
        <f t="shared" si="22"/>
        <v>0</v>
      </c>
      <c r="D94" s="270">
        <f t="shared" si="22"/>
        <v>0</v>
      </c>
      <c r="E94" s="270">
        <f t="shared" si="22"/>
        <v>0</v>
      </c>
      <c r="F94" s="270">
        <f t="shared" si="22"/>
        <v>0</v>
      </c>
      <c r="G94" s="270">
        <f t="shared" si="22"/>
        <v>0</v>
      </c>
      <c r="H94" s="270">
        <f t="shared" si="22"/>
        <v>0</v>
      </c>
      <c r="J94" s="48"/>
      <c r="K94" s="48"/>
      <c r="L94" s="48"/>
    </row>
    <row r="95" spans="1:12" ht="15.75" customHeight="1">
      <c r="A95" s="270" t="str">
        <f t="shared" si="19"/>
        <v>Chilli</v>
      </c>
      <c r="B95" s="270">
        <f t="shared" ref="B95:H95" si="23">B38</f>
        <v>0</v>
      </c>
      <c r="C95" s="270">
        <f t="shared" si="23"/>
        <v>0</v>
      </c>
      <c r="D95" s="270">
        <f t="shared" si="23"/>
        <v>0</v>
      </c>
      <c r="E95" s="270">
        <f t="shared" si="23"/>
        <v>0</v>
      </c>
      <c r="F95" s="270">
        <f t="shared" si="23"/>
        <v>0</v>
      </c>
      <c r="G95" s="270">
        <f t="shared" si="23"/>
        <v>0</v>
      </c>
      <c r="H95" s="270">
        <f t="shared" si="23"/>
        <v>0</v>
      </c>
      <c r="J95" s="48"/>
      <c r="K95" s="48"/>
      <c r="L95" s="48"/>
    </row>
    <row r="96" spans="1:12" ht="15.75" customHeight="1">
      <c r="A96" s="270" t="str">
        <f t="shared" si="19"/>
        <v>Potato</v>
      </c>
      <c r="B96" s="270">
        <f t="shared" ref="B96:H96" si="24">B39</f>
        <v>0</v>
      </c>
      <c r="C96" s="270">
        <f t="shared" si="24"/>
        <v>0</v>
      </c>
      <c r="D96" s="270">
        <f t="shared" si="24"/>
        <v>0</v>
      </c>
      <c r="E96" s="270">
        <f t="shared" si="24"/>
        <v>0</v>
      </c>
      <c r="F96" s="270">
        <f t="shared" si="24"/>
        <v>0</v>
      </c>
      <c r="G96" s="270">
        <f t="shared" si="24"/>
        <v>0</v>
      </c>
      <c r="H96" s="270">
        <f t="shared" si="24"/>
        <v>0</v>
      </c>
      <c r="J96" s="48"/>
      <c r="K96" s="48"/>
      <c r="L96" s="48"/>
    </row>
    <row r="97" spans="1:12" ht="15.75" customHeight="1">
      <c r="A97" s="270">
        <f t="shared" si="19"/>
        <v>0</v>
      </c>
      <c r="B97" s="270">
        <f t="shared" ref="B97:H97" si="25">B40</f>
        <v>0</v>
      </c>
      <c r="C97" s="270">
        <f t="shared" si="25"/>
        <v>0</v>
      </c>
      <c r="D97" s="270">
        <f t="shared" si="25"/>
        <v>0</v>
      </c>
      <c r="E97" s="270">
        <f t="shared" si="25"/>
        <v>0</v>
      </c>
      <c r="F97" s="270">
        <f t="shared" si="25"/>
        <v>0</v>
      </c>
      <c r="G97" s="270">
        <f t="shared" si="25"/>
        <v>0</v>
      </c>
      <c r="H97" s="270">
        <f t="shared" si="25"/>
        <v>0</v>
      </c>
      <c r="J97" s="48"/>
      <c r="K97" s="48"/>
      <c r="L97" s="48"/>
    </row>
    <row r="98" spans="1:12" ht="15.75" customHeight="1">
      <c r="A98" s="270">
        <f t="shared" si="19"/>
        <v>0</v>
      </c>
      <c r="B98" s="270">
        <f t="shared" ref="B98:H98" si="26">B41</f>
        <v>0</v>
      </c>
      <c r="C98" s="270">
        <f t="shared" si="26"/>
        <v>0</v>
      </c>
      <c r="D98" s="270">
        <f t="shared" si="26"/>
        <v>0</v>
      </c>
      <c r="E98" s="270">
        <f t="shared" si="26"/>
        <v>0</v>
      </c>
      <c r="F98" s="270">
        <f t="shared" si="26"/>
        <v>0</v>
      </c>
      <c r="G98" s="270">
        <f t="shared" si="26"/>
        <v>0</v>
      </c>
      <c r="H98" s="270">
        <f t="shared" si="26"/>
        <v>0</v>
      </c>
      <c r="J98" s="48"/>
      <c r="K98" s="48"/>
      <c r="L98" s="48"/>
    </row>
    <row r="99" spans="1:12" ht="15.75" customHeight="1">
      <c r="A99" s="270">
        <f t="shared" si="19"/>
        <v>0</v>
      </c>
      <c r="B99" s="270">
        <f t="shared" ref="B99:H99" si="27">B42</f>
        <v>0</v>
      </c>
      <c r="C99" s="270">
        <f t="shared" si="27"/>
        <v>0</v>
      </c>
      <c r="D99" s="270">
        <f t="shared" si="27"/>
        <v>0</v>
      </c>
      <c r="E99" s="270">
        <f t="shared" si="27"/>
        <v>0</v>
      </c>
      <c r="F99" s="270">
        <f t="shared" si="27"/>
        <v>0</v>
      </c>
      <c r="G99" s="270">
        <f t="shared" si="27"/>
        <v>0</v>
      </c>
      <c r="H99" s="270">
        <f t="shared" si="27"/>
        <v>0</v>
      </c>
      <c r="J99" s="48"/>
      <c r="K99" s="48"/>
      <c r="L99" s="48"/>
    </row>
    <row r="100" spans="1:12" ht="15.75" customHeight="1">
      <c r="A100" s="270">
        <f t="shared" si="19"/>
        <v>0</v>
      </c>
      <c r="B100" s="270">
        <f t="shared" ref="B100:H100" si="28">B43</f>
        <v>0</v>
      </c>
      <c r="C100" s="270">
        <f t="shared" si="28"/>
        <v>0</v>
      </c>
      <c r="D100" s="270">
        <f t="shared" si="28"/>
        <v>0</v>
      </c>
      <c r="E100" s="270">
        <f t="shared" si="28"/>
        <v>0</v>
      </c>
      <c r="F100" s="270">
        <f t="shared" si="28"/>
        <v>0</v>
      </c>
      <c r="G100" s="270">
        <f t="shared" si="28"/>
        <v>0</v>
      </c>
      <c r="H100" s="270">
        <f t="shared" si="28"/>
        <v>0</v>
      </c>
      <c r="J100" s="48"/>
      <c r="K100" s="48"/>
      <c r="L100" s="48"/>
    </row>
    <row r="101" spans="1:12" ht="15.75" customHeight="1">
      <c r="A101" s="270" t="str">
        <f t="shared" si="19"/>
        <v>Onion</v>
      </c>
      <c r="B101" s="270">
        <f t="shared" ref="B101:H101" si="29">B44</f>
        <v>0</v>
      </c>
      <c r="C101" s="270">
        <f t="shared" si="29"/>
        <v>0</v>
      </c>
      <c r="D101" s="270">
        <f t="shared" si="29"/>
        <v>0</v>
      </c>
      <c r="E101" s="270">
        <f t="shared" si="29"/>
        <v>0</v>
      </c>
      <c r="F101" s="270">
        <f t="shared" si="29"/>
        <v>0</v>
      </c>
      <c r="G101" s="270">
        <f t="shared" si="29"/>
        <v>0</v>
      </c>
      <c r="H101" s="270">
        <f t="shared" si="29"/>
        <v>0</v>
      </c>
      <c r="J101" s="48"/>
      <c r="K101" s="48"/>
      <c r="L101" s="48"/>
    </row>
    <row r="102" spans="1:12" ht="15.75" customHeight="1">
      <c r="A102" s="270" t="str">
        <f t="shared" si="19"/>
        <v>Tomato</v>
      </c>
      <c r="B102" s="270">
        <f t="shared" ref="B102:H102" si="30">B45</f>
        <v>0</v>
      </c>
      <c r="C102" s="270">
        <f t="shared" si="30"/>
        <v>0</v>
      </c>
      <c r="D102" s="270">
        <f t="shared" si="30"/>
        <v>0</v>
      </c>
      <c r="E102" s="270">
        <f t="shared" si="30"/>
        <v>0</v>
      </c>
      <c r="F102" s="270">
        <f t="shared" si="30"/>
        <v>0</v>
      </c>
      <c r="G102" s="270">
        <f t="shared" si="30"/>
        <v>0</v>
      </c>
      <c r="H102" s="270">
        <f t="shared" si="30"/>
        <v>0</v>
      </c>
      <c r="J102" s="48"/>
      <c r="K102" s="48"/>
      <c r="L102" s="48"/>
    </row>
    <row r="103" spans="1:12" ht="15.75" customHeight="1">
      <c r="A103" s="270" t="str">
        <f t="shared" si="19"/>
        <v>Okra</v>
      </c>
      <c r="B103" s="270">
        <f t="shared" ref="B103:H103" si="31">B46</f>
        <v>0</v>
      </c>
      <c r="C103" s="270">
        <f t="shared" si="31"/>
        <v>0</v>
      </c>
      <c r="D103" s="270">
        <f t="shared" si="31"/>
        <v>0</v>
      </c>
      <c r="E103" s="270">
        <f t="shared" si="31"/>
        <v>0</v>
      </c>
      <c r="F103" s="270">
        <f t="shared" si="31"/>
        <v>0</v>
      </c>
      <c r="G103" s="270">
        <f t="shared" si="31"/>
        <v>0</v>
      </c>
      <c r="H103" s="270">
        <f t="shared" si="31"/>
        <v>0</v>
      </c>
      <c r="J103" s="48"/>
      <c r="K103" s="48"/>
      <c r="L103" s="48"/>
    </row>
    <row r="104" spans="1:12" ht="15.75" customHeight="1">
      <c r="A104" s="270" t="str">
        <f t="shared" si="19"/>
        <v>Chilli</v>
      </c>
      <c r="B104" s="270">
        <f t="shared" ref="B104:H104" si="32">B47</f>
        <v>0</v>
      </c>
      <c r="C104" s="270">
        <f t="shared" si="32"/>
        <v>0</v>
      </c>
      <c r="D104" s="270">
        <f t="shared" si="32"/>
        <v>0</v>
      </c>
      <c r="E104" s="270">
        <f t="shared" si="32"/>
        <v>0</v>
      </c>
      <c r="F104" s="270">
        <f t="shared" si="32"/>
        <v>0</v>
      </c>
      <c r="G104" s="270">
        <f t="shared" si="32"/>
        <v>0</v>
      </c>
      <c r="H104" s="270">
        <f t="shared" si="32"/>
        <v>0</v>
      </c>
      <c r="J104" s="48"/>
      <c r="K104" s="48"/>
      <c r="L104" s="48"/>
    </row>
    <row r="105" spans="1:12" ht="15.75" customHeight="1">
      <c r="A105" s="270" t="str">
        <f t="shared" si="19"/>
        <v>Brinjal</v>
      </c>
      <c r="B105" s="270">
        <f t="shared" ref="B105:H105" si="33">B48</f>
        <v>0</v>
      </c>
      <c r="C105" s="270">
        <f t="shared" si="33"/>
        <v>0</v>
      </c>
      <c r="D105" s="270">
        <f t="shared" si="33"/>
        <v>0</v>
      </c>
      <c r="E105" s="270">
        <f t="shared" si="33"/>
        <v>0</v>
      </c>
      <c r="F105" s="270">
        <f t="shared" si="33"/>
        <v>0</v>
      </c>
      <c r="G105" s="270">
        <f t="shared" si="33"/>
        <v>0</v>
      </c>
      <c r="H105" s="270">
        <f t="shared" si="33"/>
        <v>0</v>
      </c>
      <c r="J105" s="48"/>
      <c r="K105" s="48"/>
      <c r="L105" s="48"/>
    </row>
    <row r="106" spans="1:12" ht="15.75" customHeight="1">
      <c r="A106" s="270">
        <f t="shared" si="19"/>
        <v>0</v>
      </c>
      <c r="B106" s="270">
        <f t="shared" ref="B106:H106" si="34">B49</f>
        <v>0</v>
      </c>
      <c r="C106" s="270">
        <f t="shared" si="34"/>
        <v>0</v>
      </c>
      <c r="D106" s="270">
        <f t="shared" si="34"/>
        <v>0</v>
      </c>
      <c r="E106" s="270">
        <f t="shared" si="34"/>
        <v>0</v>
      </c>
      <c r="F106" s="270">
        <f t="shared" si="34"/>
        <v>0</v>
      </c>
      <c r="G106" s="270">
        <f t="shared" si="34"/>
        <v>0</v>
      </c>
      <c r="H106" s="270">
        <f t="shared" si="34"/>
        <v>0</v>
      </c>
      <c r="J106" s="48"/>
      <c r="K106" s="48"/>
      <c r="L106" s="48"/>
    </row>
    <row r="107" spans="1:12" ht="15.75" customHeight="1">
      <c r="A107" s="270">
        <f t="shared" si="19"/>
        <v>0</v>
      </c>
      <c r="B107" s="270">
        <f t="shared" ref="B107:H107" si="35">B50</f>
        <v>0</v>
      </c>
      <c r="C107" s="270">
        <f t="shared" si="35"/>
        <v>0</v>
      </c>
      <c r="D107" s="270">
        <f t="shared" si="35"/>
        <v>0</v>
      </c>
      <c r="E107" s="270">
        <f t="shared" si="35"/>
        <v>0</v>
      </c>
      <c r="F107" s="270">
        <f t="shared" si="35"/>
        <v>0</v>
      </c>
      <c r="G107" s="270">
        <f t="shared" si="35"/>
        <v>0</v>
      </c>
      <c r="H107" s="270">
        <f t="shared" si="35"/>
        <v>0</v>
      </c>
      <c r="J107" s="48"/>
      <c r="K107" s="48"/>
      <c r="L107" s="48"/>
    </row>
    <row r="108" spans="1:12" ht="15.75" customHeight="1">
      <c r="A108" s="270">
        <f t="shared" si="19"/>
        <v>0</v>
      </c>
      <c r="B108" s="270">
        <f t="shared" ref="B108:H108" si="36">B51</f>
        <v>0</v>
      </c>
      <c r="C108" s="270">
        <f t="shared" si="36"/>
        <v>0</v>
      </c>
      <c r="D108" s="270">
        <f t="shared" si="36"/>
        <v>0</v>
      </c>
      <c r="E108" s="270">
        <f t="shared" si="36"/>
        <v>0</v>
      </c>
      <c r="F108" s="270">
        <f t="shared" si="36"/>
        <v>0</v>
      </c>
      <c r="G108" s="270">
        <f t="shared" si="36"/>
        <v>0</v>
      </c>
      <c r="H108" s="270">
        <f t="shared" si="36"/>
        <v>0</v>
      </c>
      <c r="J108" s="48"/>
      <c r="K108" s="48"/>
      <c r="L108" s="48"/>
    </row>
    <row r="109" spans="1:12" ht="15.75" customHeight="1">
      <c r="A109" s="270">
        <f t="shared" si="19"/>
        <v>0</v>
      </c>
      <c r="B109" s="270">
        <f t="shared" ref="B109:H109" si="37">B52</f>
        <v>0</v>
      </c>
      <c r="C109" s="270">
        <f t="shared" si="37"/>
        <v>0</v>
      </c>
      <c r="D109" s="270">
        <f t="shared" si="37"/>
        <v>0</v>
      </c>
      <c r="E109" s="270">
        <f t="shared" si="37"/>
        <v>0</v>
      </c>
      <c r="F109" s="270">
        <f t="shared" si="37"/>
        <v>0</v>
      </c>
      <c r="G109" s="270">
        <f t="shared" si="37"/>
        <v>0</v>
      </c>
      <c r="H109" s="270">
        <f t="shared" si="37"/>
        <v>0</v>
      </c>
      <c r="J109" s="48"/>
      <c r="K109" s="48"/>
      <c r="L109" s="48"/>
    </row>
    <row r="110" spans="1:12" ht="15.75" customHeight="1">
      <c r="A110" s="270">
        <f t="shared" si="19"/>
        <v>0</v>
      </c>
      <c r="B110" s="270"/>
      <c r="C110" s="270"/>
      <c r="D110" s="270"/>
      <c r="E110" s="270"/>
      <c r="F110" s="270"/>
      <c r="G110" s="270"/>
      <c r="H110" s="270"/>
      <c r="J110" s="48"/>
      <c r="K110" s="48"/>
      <c r="L110" s="48"/>
    </row>
    <row r="111" spans="1:12" ht="15.75" customHeight="1">
      <c r="A111" s="270">
        <f t="shared" si="19"/>
        <v>0</v>
      </c>
      <c r="B111" s="270"/>
      <c r="C111" s="270"/>
      <c r="D111" s="270"/>
      <c r="E111" s="270"/>
      <c r="F111" s="270"/>
      <c r="G111" s="270"/>
      <c r="H111" s="270"/>
      <c r="J111" s="48"/>
      <c r="K111" s="48"/>
      <c r="L111" s="48"/>
    </row>
    <row r="112" spans="1:12" ht="15.75" customHeight="1">
      <c r="A112" s="270">
        <f t="shared" si="19"/>
        <v>0</v>
      </c>
      <c r="B112" s="270"/>
      <c r="C112" s="270"/>
      <c r="D112" s="270"/>
      <c r="E112" s="270"/>
      <c r="F112" s="270"/>
      <c r="G112" s="270"/>
      <c r="H112" s="270"/>
      <c r="J112" s="48"/>
      <c r="K112" s="48"/>
      <c r="L112" s="48"/>
    </row>
    <row r="113" spans="1:12" ht="15.75" customHeight="1">
      <c r="A113" s="270" t="str">
        <f t="shared" si="19"/>
        <v>Pomegranate</v>
      </c>
      <c r="B113" s="270">
        <f t="shared" ref="B113:H113" si="38">B56</f>
        <v>0</v>
      </c>
      <c r="C113" s="270">
        <f t="shared" si="38"/>
        <v>0</v>
      </c>
      <c r="D113" s="270">
        <f t="shared" si="38"/>
        <v>0</v>
      </c>
      <c r="E113" s="270">
        <f t="shared" si="38"/>
        <v>0</v>
      </c>
      <c r="F113" s="270">
        <f t="shared" si="38"/>
        <v>0</v>
      </c>
      <c r="G113" s="270">
        <f t="shared" si="38"/>
        <v>0</v>
      </c>
      <c r="H113" s="270">
        <f t="shared" si="38"/>
        <v>0</v>
      </c>
      <c r="J113" s="48"/>
      <c r="K113" s="48"/>
      <c r="L113" s="48"/>
    </row>
    <row r="114" spans="1:12" ht="15.75" customHeight="1">
      <c r="A114" s="270" t="str">
        <f t="shared" si="19"/>
        <v>Custard Apple</v>
      </c>
      <c r="B114" s="270">
        <f t="shared" ref="B114:H114" si="39">B57</f>
        <v>0</v>
      </c>
      <c r="C114" s="270">
        <f t="shared" si="39"/>
        <v>0</v>
      </c>
      <c r="D114" s="270">
        <f t="shared" si="39"/>
        <v>0</v>
      </c>
      <c r="E114" s="270">
        <f t="shared" si="39"/>
        <v>0</v>
      </c>
      <c r="F114" s="270">
        <f t="shared" si="39"/>
        <v>0</v>
      </c>
      <c r="G114" s="270">
        <f t="shared" si="39"/>
        <v>0</v>
      </c>
      <c r="H114" s="270">
        <f t="shared" si="39"/>
        <v>0</v>
      </c>
      <c r="J114" s="48"/>
      <c r="K114" s="48"/>
      <c r="L114" s="48"/>
    </row>
    <row r="115" spans="1:12" ht="15.75" customHeight="1">
      <c r="A115" s="270" t="str">
        <f t="shared" si="19"/>
        <v>Guava</v>
      </c>
      <c r="B115" s="270">
        <f t="shared" ref="B115:H115" si="40">B58</f>
        <v>0</v>
      </c>
      <c r="C115" s="270">
        <f t="shared" si="40"/>
        <v>0</v>
      </c>
      <c r="D115" s="270">
        <f t="shared" si="40"/>
        <v>0</v>
      </c>
      <c r="E115" s="270">
        <f t="shared" si="40"/>
        <v>0</v>
      </c>
      <c r="F115" s="270">
        <f t="shared" si="40"/>
        <v>0</v>
      </c>
      <c r="G115" s="270">
        <f t="shared" si="40"/>
        <v>0</v>
      </c>
      <c r="H115" s="270">
        <f t="shared" si="40"/>
        <v>0</v>
      </c>
      <c r="J115" s="48"/>
      <c r="K115" s="48"/>
      <c r="L115" s="48"/>
    </row>
    <row r="116" spans="1:12" ht="15.75" customHeight="1">
      <c r="A116" s="270" t="str">
        <f t="shared" si="19"/>
        <v>Citrus</v>
      </c>
      <c r="B116" s="270">
        <f t="shared" ref="B116:H116" si="41">B59</f>
        <v>0</v>
      </c>
      <c r="C116" s="270">
        <f t="shared" si="41"/>
        <v>0</v>
      </c>
      <c r="D116" s="270">
        <f t="shared" si="41"/>
        <v>0</v>
      </c>
      <c r="E116" s="270">
        <f t="shared" si="41"/>
        <v>0</v>
      </c>
      <c r="F116" s="270">
        <f t="shared" si="41"/>
        <v>0</v>
      </c>
      <c r="G116" s="270">
        <f t="shared" si="41"/>
        <v>0</v>
      </c>
      <c r="H116" s="270">
        <f t="shared" si="41"/>
        <v>0</v>
      </c>
      <c r="J116" s="48"/>
      <c r="K116" s="48"/>
      <c r="L116" s="48"/>
    </row>
    <row r="117" spans="1:12" ht="15.75" customHeight="1">
      <c r="A117" s="76"/>
      <c r="B117" s="270"/>
      <c r="C117" s="270"/>
      <c r="D117" s="270"/>
      <c r="E117" s="270"/>
      <c r="F117" s="270"/>
      <c r="G117" s="270"/>
      <c r="H117" s="270"/>
      <c r="J117" s="48"/>
      <c r="K117" s="48"/>
      <c r="L117" s="48"/>
    </row>
    <row r="118" spans="1:12" ht="15.75" customHeight="1">
      <c r="A118" s="76"/>
      <c r="B118" s="270"/>
      <c r="C118" s="270"/>
      <c r="D118" s="270"/>
      <c r="E118" s="270"/>
      <c r="F118" s="270"/>
      <c r="G118" s="270"/>
      <c r="H118" s="270"/>
      <c r="J118" s="48"/>
      <c r="K118" s="48"/>
      <c r="L118" s="48"/>
    </row>
    <row r="119" spans="1:12" ht="15.75" customHeight="1">
      <c r="A119" s="79" t="s">
        <v>583</v>
      </c>
      <c r="B119" s="76"/>
      <c r="C119" s="76"/>
      <c r="D119" s="76"/>
      <c r="E119" s="76"/>
      <c r="F119" s="76"/>
      <c r="G119" s="76"/>
      <c r="H119" s="76"/>
    </row>
    <row r="120" spans="1:12" ht="15.75" customHeight="1">
      <c r="A120" s="270" t="str">
        <f t="shared" ref="A120:A141" si="42">A68</f>
        <v>Soybean</v>
      </c>
      <c r="B120" s="238">
        <f t="shared" ref="B120:H120" si="43">B68-(B68*$G$6)</f>
        <v>0</v>
      </c>
      <c r="C120" s="238">
        <f t="shared" si="43"/>
        <v>0</v>
      </c>
      <c r="D120" s="238">
        <f t="shared" si="43"/>
        <v>0</v>
      </c>
      <c r="E120" s="238">
        <f t="shared" si="43"/>
        <v>0</v>
      </c>
      <c r="F120" s="238">
        <f t="shared" si="43"/>
        <v>0</v>
      </c>
      <c r="G120" s="238">
        <f t="shared" si="43"/>
        <v>0</v>
      </c>
      <c r="H120" s="238">
        <f t="shared" si="43"/>
        <v>0</v>
      </c>
    </row>
    <row r="121" spans="1:12" ht="15.75" customHeight="1">
      <c r="A121" s="270" t="str">
        <f t="shared" si="42"/>
        <v>Red Gram/Tur</v>
      </c>
      <c r="B121" s="238">
        <f t="shared" ref="B121:H121" si="44">B69-(B69*$G$6)</f>
        <v>0</v>
      </c>
      <c r="C121" s="238">
        <f t="shared" si="44"/>
        <v>0</v>
      </c>
      <c r="D121" s="238">
        <f t="shared" si="44"/>
        <v>0</v>
      </c>
      <c r="E121" s="238">
        <f t="shared" si="44"/>
        <v>0</v>
      </c>
      <c r="F121" s="238">
        <f t="shared" si="44"/>
        <v>0</v>
      </c>
      <c r="G121" s="238">
        <f t="shared" si="44"/>
        <v>0</v>
      </c>
      <c r="H121" s="238">
        <f t="shared" si="44"/>
        <v>0</v>
      </c>
    </row>
    <row r="122" spans="1:12" ht="15.75" customHeight="1">
      <c r="A122" s="270" t="str">
        <f t="shared" si="42"/>
        <v>Turmeric</v>
      </c>
      <c r="B122" s="238">
        <f t="shared" ref="B122:H122" si="45">B70-(B70*$G$6)</f>
        <v>3666.5999999999995</v>
      </c>
      <c r="C122" s="238">
        <f t="shared" si="45"/>
        <v>3666.5999999999995</v>
      </c>
      <c r="D122" s="238">
        <f t="shared" si="45"/>
        <v>3666.5999999999995</v>
      </c>
      <c r="E122" s="238">
        <f t="shared" si="45"/>
        <v>3666.5999999999995</v>
      </c>
      <c r="F122" s="238">
        <f t="shared" si="45"/>
        <v>3666.5999999999995</v>
      </c>
      <c r="G122" s="238">
        <f t="shared" si="45"/>
        <v>3666.5999999999995</v>
      </c>
      <c r="H122" s="238">
        <f t="shared" si="45"/>
        <v>3666.5999999999995</v>
      </c>
    </row>
    <row r="123" spans="1:12" ht="15.75" customHeight="1">
      <c r="A123" s="270" t="str">
        <f t="shared" si="42"/>
        <v>Green Gram/ Moong</v>
      </c>
      <c r="B123" s="238">
        <f t="shared" ref="B123:H123" si="46">B71-(B71*$G$6)</f>
        <v>0</v>
      </c>
      <c r="C123" s="238">
        <f t="shared" si="46"/>
        <v>0</v>
      </c>
      <c r="D123" s="238">
        <f t="shared" si="46"/>
        <v>0</v>
      </c>
      <c r="E123" s="238">
        <f t="shared" si="46"/>
        <v>0</v>
      </c>
      <c r="F123" s="238">
        <f t="shared" si="46"/>
        <v>0</v>
      </c>
      <c r="G123" s="238">
        <f t="shared" si="46"/>
        <v>0</v>
      </c>
      <c r="H123" s="238">
        <f t="shared" si="46"/>
        <v>0</v>
      </c>
    </row>
    <row r="124" spans="1:12" ht="15.75" customHeight="1">
      <c r="A124" s="270" t="str">
        <f t="shared" si="42"/>
        <v>Maize</v>
      </c>
      <c r="B124" s="238">
        <f t="shared" ref="B124:H124" si="47">B72-(B72*$G$6)</f>
        <v>0</v>
      </c>
      <c r="C124" s="238">
        <f t="shared" si="47"/>
        <v>0</v>
      </c>
      <c r="D124" s="238">
        <f t="shared" si="47"/>
        <v>0</v>
      </c>
      <c r="E124" s="238">
        <f t="shared" si="47"/>
        <v>0</v>
      </c>
      <c r="F124" s="238">
        <f t="shared" si="47"/>
        <v>0</v>
      </c>
      <c r="G124" s="238">
        <f t="shared" si="47"/>
        <v>0</v>
      </c>
      <c r="H124" s="238">
        <f t="shared" si="47"/>
        <v>0</v>
      </c>
    </row>
    <row r="125" spans="1:12" ht="15.75" customHeight="1">
      <c r="A125" s="270" t="str">
        <f t="shared" si="42"/>
        <v>Black Gram/Udid</v>
      </c>
      <c r="B125" s="238">
        <f t="shared" ref="B125:H125" si="48">B73-(B73*$G$6)</f>
        <v>0</v>
      </c>
      <c r="C125" s="238">
        <f t="shared" si="48"/>
        <v>0</v>
      </c>
      <c r="D125" s="238">
        <f t="shared" si="48"/>
        <v>0</v>
      </c>
      <c r="E125" s="238">
        <f t="shared" si="48"/>
        <v>0</v>
      </c>
      <c r="F125" s="238">
        <f t="shared" si="48"/>
        <v>0</v>
      </c>
      <c r="G125" s="238">
        <f t="shared" si="48"/>
        <v>0</v>
      </c>
      <c r="H125" s="238">
        <f t="shared" si="48"/>
        <v>0</v>
      </c>
    </row>
    <row r="126" spans="1:12" ht="15.75" customHeight="1">
      <c r="A126" s="270" t="str">
        <f t="shared" si="42"/>
        <v>Bajra</v>
      </c>
      <c r="B126" s="238">
        <f t="shared" ref="B126:H126" si="49">B74-(B74*$G$6)</f>
        <v>0</v>
      </c>
      <c r="C126" s="238">
        <f t="shared" si="49"/>
        <v>0</v>
      </c>
      <c r="D126" s="238">
        <f t="shared" si="49"/>
        <v>0</v>
      </c>
      <c r="E126" s="238">
        <f t="shared" si="49"/>
        <v>0</v>
      </c>
      <c r="F126" s="238">
        <f t="shared" si="49"/>
        <v>0</v>
      </c>
      <c r="G126" s="238">
        <f t="shared" si="49"/>
        <v>0</v>
      </c>
      <c r="H126" s="238">
        <f t="shared" si="49"/>
        <v>0</v>
      </c>
    </row>
    <row r="127" spans="1:12" ht="15.75" customHeight="1">
      <c r="A127" s="270" t="str">
        <f t="shared" si="42"/>
        <v>Jawar</v>
      </c>
      <c r="B127" s="238">
        <f t="shared" ref="B127:H127" si="50">B75-(B75*$G$6)</f>
        <v>0</v>
      </c>
      <c r="C127" s="238">
        <f t="shared" si="50"/>
        <v>0</v>
      </c>
      <c r="D127" s="238">
        <f t="shared" si="50"/>
        <v>0</v>
      </c>
      <c r="E127" s="238">
        <f t="shared" si="50"/>
        <v>0</v>
      </c>
      <c r="F127" s="238">
        <f t="shared" si="50"/>
        <v>0</v>
      </c>
      <c r="G127" s="238">
        <f t="shared" si="50"/>
        <v>0</v>
      </c>
      <c r="H127" s="238">
        <f t="shared" si="50"/>
        <v>0</v>
      </c>
    </row>
    <row r="128" spans="1:12" ht="15.75" customHeight="1">
      <c r="A128" s="270" t="str">
        <f t="shared" si="42"/>
        <v>Sunflower</v>
      </c>
      <c r="B128" s="238">
        <f t="shared" ref="B128:H128" si="51">B76-(B76*$G$6)</f>
        <v>0</v>
      </c>
      <c r="C128" s="238">
        <f t="shared" si="51"/>
        <v>0</v>
      </c>
      <c r="D128" s="238">
        <f t="shared" si="51"/>
        <v>0</v>
      </c>
      <c r="E128" s="238">
        <f t="shared" si="51"/>
        <v>0</v>
      </c>
      <c r="F128" s="238">
        <f t="shared" si="51"/>
        <v>0</v>
      </c>
      <c r="G128" s="238">
        <f t="shared" si="51"/>
        <v>0</v>
      </c>
      <c r="H128" s="238">
        <f t="shared" si="51"/>
        <v>0</v>
      </c>
    </row>
    <row r="129" spans="1:8" ht="15.75" customHeight="1">
      <c r="A129" s="270" t="str">
        <f t="shared" si="42"/>
        <v>Wheat</v>
      </c>
      <c r="B129" s="238">
        <f t="shared" ref="B129:H129" si="52">B77-(B77*$G$6)</f>
        <v>0</v>
      </c>
      <c r="C129" s="238">
        <f t="shared" si="52"/>
        <v>0</v>
      </c>
      <c r="D129" s="238">
        <f t="shared" si="52"/>
        <v>0</v>
      </c>
      <c r="E129" s="238">
        <f t="shared" si="52"/>
        <v>0</v>
      </c>
      <c r="F129" s="238">
        <f t="shared" si="52"/>
        <v>0</v>
      </c>
      <c r="G129" s="238">
        <f t="shared" si="52"/>
        <v>0</v>
      </c>
      <c r="H129" s="238">
        <f t="shared" si="52"/>
        <v>0</v>
      </c>
    </row>
    <row r="130" spans="1:8" ht="15.75" customHeight="1">
      <c r="A130" s="270" t="str">
        <f t="shared" si="42"/>
        <v>Bengal Gram/Channa</v>
      </c>
      <c r="B130" s="238">
        <f t="shared" ref="B130:H130" si="53">B78-(B78*$G$6)</f>
        <v>0</v>
      </c>
      <c r="C130" s="238">
        <f t="shared" si="53"/>
        <v>0</v>
      </c>
      <c r="D130" s="238">
        <f t="shared" si="53"/>
        <v>0</v>
      </c>
      <c r="E130" s="238">
        <f t="shared" si="53"/>
        <v>0</v>
      </c>
      <c r="F130" s="238">
        <f t="shared" si="53"/>
        <v>0</v>
      </c>
      <c r="G130" s="238">
        <f t="shared" si="53"/>
        <v>0</v>
      </c>
      <c r="H130" s="238">
        <f t="shared" si="53"/>
        <v>0</v>
      </c>
    </row>
    <row r="131" spans="1:8" ht="15.75" customHeight="1">
      <c r="A131" s="270" t="str">
        <f t="shared" si="42"/>
        <v>Jawar</v>
      </c>
      <c r="B131" s="238">
        <f t="shared" ref="B131:H131" si="54">B79-(B79*$G$6)</f>
        <v>0</v>
      </c>
      <c r="C131" s="238">
        <f t="shared" si="54"/>
        <v>0</v>
      </c>
      <c r="D131" s="238">
        <f t="shared" si="54"/>
        <v>0</v>
      </c>
      <c r="E131" s="238">
        <f t="shared" si="54"/>
        <v>0</v>
      </c>
      <c r="F131" s="238">
        <f t="shared" si="54"/>
        <v>0</v>
      </c>
      <c r="G131" s="238">
        <f t="shared" si="54"/>
        <v>0</v>
      </c>
      <c r="H131" s="238">
        <f t="shared" si="54"/>
        <v>0</v>
      </c>
    </row>
    <row r="132" spans="1:8" ht="15.75" customHeight="1">
      <c r="A132" s="270" t="str">
        <f t="shared" si="42"/>
        <v>Maize</v>
      </c>
      <c r="B132" s="238">
        <f t="shared" ref="B132:H132" si="55">B80-(B80*$G$6)</f>
        <v>0</v>
      </c>
      <c r="C132" s="238">
        <f t="shared" si="55"/>
        <v>0</v>
      </c>
      <c r="D132" s="238">
        <f t="shared" si="55"/>
        <v>0</v>
      </c>
      <c r="E132" s="238">
        <f t="shared" si="55"/>
        <v>0</v>
      </c>
      <c r="F132" s="238">
        <f t="shared" si="55"/>
        <v>0</v>
      </c>
      <c r="G132" s="238">
        <f t="shared" si="55"/>
        <v>0</v>
      </c>
      <c r="H132" s="238">
        <f t="shared" si="55"/>
        <v>0</v>
      </c>
    </row>
    <row r="133" spans="1:8" ht="15.75" customHeight="1">
      <c r="A133" s="270" t="str">
        <f t="shared" si="42"/>
        <v>Safflower</v>
      </c>
      <c r="B133" s="238">
        <f t="shared" ref="B133:H133" si="56">B81-(B81*$G$6)</f>
        <v>0</v>
      </c>
      <c r="C133" s="238">
        <f t="shared" si="56"/>
        <v>0</v>
      </c>
      <c r="D133" s="238">
        <f t="shared" si="56"/>
        <v>0</v>
      </c>
      <c r="E133" s="238">
        <f t="shared" si="56"/>
        <v>0</v>
      </c>
      <c r="F133" s="238">
        <f t="shared" si="56"/>
        <v>0</v>
      </c>
      <c r="G133" s="238">
        <f t="shared" si="56"/>
        <v>0</v>
      </c>
      <c r="H133" s="238">
        <f t="shared" si="56"/>
        <v>0</v>
      </c>
    </row>
    <row r="134" spans="1:8" ht="15.75" customHeight="1">
      <c r="A134" s="270">
        <f t="shared" si="42"/>
        <v>0</v>
      </c>
      <c r="B134" s="238">
        <f t="shared" ref="B134:H134" si="57">B82-(B82*$G$6)</f>
        <v>0</v>
      </c>
      <c r="C134" s="238">
        <f t="shared" si="57"/>
        <v>0</v>
      </c>
      <c r="D134" s="238">
        <f t="shared" si="57"/>
        <v>0</v>
      </c>
      <c r="E134" s="238">
        <f t="shared" si="57"/>
        <v>0</v>
      </c>
      <c r="F134" s="238">
        <f t="shared" si="57"/>
        <v>0</v>
      </c>
      <c r="G134" s="238">
        <f t="shared" si="57"/>
        <v>0</v>
      </c>
      <c r="H134" s="238">
        <f t="shared" si="57"/>
        <v>0</v>
      </c>
    </row>
    <row r="135" spans="1:8" ht="15.75" customHeight="1">
      <c r="A135" s="270">
        <f t="shared" si="42"/>
        <v>0</v>
      </c>
      <c r="B135" s="238">
        <f t="shared" ref="B135:H135" si="58">B83-(B83*$G$6)</f>
        <v>0</v>
      </c>
      <c r="C135" s="238">
        <f t="shared" si="58"/>
        <v>0</v>
      </c>
      <c r="D135" s="238">
        <f t="shared" si="58"/>
        <v>0</v>
      </c>
      <c r="E135" s="238">
        <f t="shared" si="58"/>
        <v>0</v>
      </c>
      <c r="F135" s="238">
        <f t="shared" si="58"/>
        <v>0</v>
      </c>
      <c r="G135" s="238">
        <f t="shared" si="58"/>
        <v>0</v>
      </c>
      <c r="H135" s="238">
        <f t="shared" si="58"/>
        <v>0</v>
      </c>
    </row>
    <row r="136" spans="1:8" ht="15.75" customHeight="1">
      <c r="A136" s="270">
        <f t="shared" si="42"/>
        <v>0</v>
      </c>
      <c r="B136" s="238">
        <f t="shared" ref="B136:H136" si="59">B84-(B84*$G$6)</f>
        <v>0</v>
      </c>
      <c r="C136" s="238">
        <f t="shared" si="59"/>
        <v>0</v>
      </c>
      <c r="D136" s="238">
        <f t="shared" si="59"/>
        <v>0</v>
      </c>
      <c r="E136" s="238">
        <f t="shared" si="59"/>
        <v>0</v>
      </c>
      <c r="F136" s="238">
        <f t="shared" si="59"/>
        <v>0</v>
      </c>
      <c r="G136" s="238">
        <f t="shared" si="59"/>
        <v>0</v>
      </c>
      <c r="H136" s="238">
        <f t="shared" si="59"/>
        <v>0</v>
      </c>
    </row>
    <row r="137" spans="1:8" ht="15.75" customHeight="1">
      <c r="A137" s="270" t="str">
        <f t="shared" si="42"/>
        <v>Groundnut</v>
      </c>
      <c r="B137" s="238">
        <f t="shared" ref="B137:H137" si="60">B85-(B85*$G$6)</f>
        <v>0</v>
      </c>
      <c r="C137" s="238">
        <f t="shared" si="60"/>
        <v>0</v>
      </c>
      <c r="D137" s="238">
        <f t="shared" si="60"/>
        <v>0</v>
      </c>
      <c r="E137" s="238">
        <f t="shared" si="60"/>
        <v>0</v>
      </c>
      <c r="F137" s="238">
        <f t="shared" si="60"/>
        <v>0</v>
      </c>
      <c r="G137" s="238">
        <f t="shared" si="60"/>
        <v>0</v>
      </c>
      <c r="H137" s="238">
        <f t="shared" si="60"/>
        <v>0</v>
      </c>
    </row>
    <row r="138" spans="1:8" ht="15.75" customHeight="1">
      <c r="A138" s="270">
        <f t="shared" si="42"/>
        <v>0</v>
      </c>
      <c r="B138" s="238">
        <f t="shared" ref="B138:H138" si="61">B86-(B86*$G$6)</f>
        <v>0</v>
      </c>
      <c r="C138" s="238">
        <f t="shared" si="61"/>
        <v>0</v>
      </c>
      <c r="D138" s="238">
        <f t="shared" si="61"/>
        <v>0</v>
      </c>
      <c r="E138" s="238">
        <f t="shared" si="61"/>
        <v>0</v>
      </c>
      <c r="F138" s="238">
        <f t="shared" si="61"/>
        <v>0</v>
      </c>
      <c r="G138" s="238">
        <f t="shared" si="61"/>
        <v>0</v>
      </c>
      <c r="H138" s="238">
        <f t="shared" si="61"/>
        <v>0</v>
      </c>
    </row>
    <row r="139" spans="1:8" ht="15.75" customHeight="1">
      <c r="A139" s="270">
        <f t="shared" si="42"/>
        <v>0</v>
      </c>
      <c r="B139" s="238">
        <f t="shared" ref="B139:H139" si="62">B87-(B87*$G$6)</f>
        <v>0</v>
      </c>
      <c r="C139" s="238">
        <f t="shared" si="62"/>
        <v>0</v>
      </c>
      <c r="D139" s="238">
        <f t="shared" si="62"/>
        <v>0</v>
      </c>
      <c r="E139" s="238">
        <f t="shared" si="62"/>
        <v>0</v>
      </c>
      <c r="F139" s="238">
        <f t="shared" si="62"/>
        <v>0</v>
      </c>
      <c r="G139" s="238">
        <f t="shared" si="62"/>
        <v>0</v>
      </c>
      <c r="H139" s="238">
        <f t="shared" si="62"/>
        <v>0</v>
      </c>
    </row>
    <row r="140" spans="1:8" ht="15.75" customHeight="1">
      <c r="A140" s="270">
        <f t="shared" si="42"/>
        <v>0</v>
      </c>
      <c r="B140" s="238">
        <f t="shared" ref="B140:H140" si="63">B88-(B88*$G$6)</f>
        <v>0</v>
      </c>
      <c r="C140" s="238">
        <f t="shared" si="63"/>
        <v>0</v>
      </c>
      <c r="D140" s="238">
        <f t="shared" si="63"/>
        <v>0</v>
      </c>
      <c r="E140" s="238">
        <f t="shared" si="63"/>
        <v>0</v>
      </c>
      <c r="F140" s="238">
        <f t="shared" si="63"/>
        <v>0</v>
      </c>
      <c r="G140" s="238">
        <f t="shared" si="63"/>
        <v>0</v>
      </c>
      <c r="H140" s="238">
        <f t="shared" si="63"/>
        <v>0</v>
      </c>
    </row>
    <row r="141" spans="1:8" ht="15.75" customHeight="1">
      <c r="A141" s="270">
        <f t="shared" si="42"/>
        <v>0</v>
      </c>
      <c r="B141" s="238">
        <f t="shared" ref="B141:H141" si="64">B89-(B89*$G$6)</f>
        <v>0</v>
      </c>
      <c r="C141" s="238">
        <f t="shared" si="64"/>
        <v>0</v>
      </c>
      <c r="D141" s="238">
        <f t="shared" si="64"/>
        <v>0</v>
      </c>
      <c r="E141" s="238">
        <f t="shared" si="64"/>
        <v>0</v>
      </c>
      <c r="F141" s="238">
        <f t="shared" si="64"/>
        <v>0</v>
      </c>
      <c r="G141" s="238">
        <f t="shared" si="64"/>
        <v>0</v>
      </c>
      <c r="H141" s="238">
        <f t="shared" si="64"/>
        <v>0</v>
      </c>
    </row>
    <row r="142" spans="1:8" ht="15.75" customHeight="1">
      <c r="A142" s="76"/>
      <c r="B142" s="238"/>
      <c r="C142" s="238"/>
      <c r="D142" s="238"/>
      <c r="E142" s="238"/>
      <c r="F142" s="238"/>
      <c r="G142" s="238"/>
      <c r="H142" s="238"/>
    </row>
    <row r="143" spans="1:8" ht="15.75" customHeight="1">
      <c r="A143" s="266" t="str">
        <f t="shared" ref="A143:A168" si="65">A91</f>
        <v>Fruit  &amp; Vegetables Crop Production Details</v>
      </c>
      <c r="B143" s="238"/>
      <c r="C143" s="238"/>
      <c r="D143" s="238"/>
      <c r="E143" s="238"/>
      <c r="F143" s="238"/>
      <c r="G143" s="238"/>
      <c r="H143" s="238"/>
    </row>
    <row r="144" spans="1:8" ht="15.75" customHeight="1">
      <c r="A144" s="270" t="str">
        <f t="shared" si="65"/>
        <v>Onion</v>
      </c>
      <c r="B144" s="238">
        <f t="shared" ref="B144:H144" si="66">B92-(B92*$G$7)</f>
        <v>0</v>
      </c>
      <c r="C144" s="238">
        <f t="shared" si="66"/>
        <v>0</v>
      </c>
      <c r="D144" s="238">
        <f t="shared" si="66"/>
        <v>0</v>
      </c>
      <c r="E144" s="238">
        <f t="shared" si="66"/>
        <v>0</v>
      </c>
      <c r="F144" s="238">
        <f t="shared" si="66"/>
        <v>0</v>
      </c>
      <c r="G144" s="238">
        <f t="shared" si="66"/>
        <v>0</v>
      </c>
      <c r="H144" s="238">
        <f t="shared" si="66"/>
        <v>0</v>
      </c>
    </row>
    <row r="145" spans="1:8" ht="15.75" customHeight="1">
      <c r="A145" s="270" t="str">
        <f t="shared" si="65"/>
        <v>Tomato</v>
      </c>
      <c r="B145" s="238">
        <f t="shared" ref="B145:H145" si="67">B93-(B93*$G$7)</f>
        <v>0</v>
      </c>
      <c r="C145" s="238">
        <f t="shared" si="67"/>
        <v>0</v>
      </c>
      <c r="D145" s="238">
        <f t="shared" si="67"/>
        <v>0</v>
      </c>
      <c r="E145" s="238">
        <f t="shared" si="67"/>
        <v>0</v>
      </c>
      <c r="F145" s="238">
        <f t="shared" si="67"/>
        <v>0</v>
      </c>
      <c r="G145" s="238">
        <f t="shared" si="67"/>
        <v>0</v>
      </c>
      <c r="H145" s="238">
        <f t="shared" si="67"/>
        <v>0</v>
      </c>
    </row>
    <row r="146" spans="1:8" ht="15.75" customHeight="1">
      <c r="A146" s="270" t="str">
        <f t="shared" si="65"/>
        <v>Okra</v>
      </c>
      <c r="B146" s="238">
        <f t="shared" ref="B146:H146" si="68">B94-(B94*$G$7)</f>
        <v>0</v>
      </c>
      <c r="C146" s="238">
        <f t="shared" si="68"/>
        <v>0</v>
      </c>
      <c r="D146" s="238">
        <f t="shared" si="68"/>
        <v>0</v>
      </c>
      <c r="E146" s="238">
        <f t="shared" si="68"/>
        <v>0</v>
      </c>
      <c r="F146" s="238">
        <f t="shared" si="68"/>
        <v>0</v>
      </c>
      <c r="G146" s="238">
        <f t="shared" si="68"/>
        <v>0</v>
      </c>
      <c r="H146" s="238">
        <f t="shared" si="68"/>
        <v>0</v>
      </c>
    </row>
    <row r="147" spans="1:8" ht="15.75" customHeight="1">
      <c r="A147" s="270" t="str">
        <f t="shared" si="65"/>
        <v>Chilli</v>
      </c>
      <c r="B147" s="238">
        <f t="shared" ref="B147:H147" si="69">B95-(B95*$G$7)</f>
        <v>0</v>
      </c>
      <c r="C147" s="238">
        <f t="shared" si="69"/>
        <v>0</v>
      </c>
      <c r="D147" s="238">
        <f t="shared" si="69"/>
        <v>0</v>
      </c>
      <c r="E147" s="238">
        <f t="shared" si="69"/>
        <v>0</v>
      </c>
      <c r="F147" s="238">
        <f t="shared" si="69"/>
        <v>0</v>
      </c>
      <c r="G147" s="238">
        <f t="shared" si="69"/>
        <v>0</v>
      </c>
      <c r="H147" s="238">
        <f t="shared" si="69"/>
        <v>0</v>
      </c>
    </row>
    <row r="148" spans="1:8" ht="15.75" customHeight="1">
      <c r="A148" s="270" t="str">
        <f t="shared" si="65"/>
        <v>Potato</v>
      </c>
      <c r="B148" s="238">
        <f t="shared" ref="B148:H148" si="70">B96-(B96*$G$7)</f>
        <v>0</v>
      </c>
      <c r="C148" s="238">
        <f t="shared" si="70"/>
        <v>0</v>
      </c>
      <c r="D148" s="238">
        <f t="shared" si="70"/>
        <v>0</v>
      </c>
      <c r="E148" s="238">
        <f t="shared" si="70"/>
        <v>0</v>
      </c>
      <c r="F148" s="238">
        <f t="shared" si="70"/>
        <v>0</v>
      </c>
      <c r="G148" s="238">
        <f t="shared" si="70"/>
        <v>0</v>
      </c>
      <c r="H148" s="238">
        <f t="shared" si="70"/>
        <v>0</v>
      </c>
    </row>
    <row r="149" spans="1:8" ht="15.75" customHeight="1">
      <c r="A149" s="270">
        <f t="shared" si="65"/>
        <v>0</v>
      </c>
      <c r="B149" s="238">
        <f t="shared" ref="B149:H149" si="71">B97-(B97*$G$7)</f>
        <v>0</v>
      </c>
      <c r="C149" s="238">
        <f t="shared" si="71"/>
        <v>0</v>
      </c>
      <c r="D149" s="238">
        <f t="shared" si="71"/>
        <v>0</v>
      </c>
      <c r="E149" s="238">
        <f t="shared" si="71"/>
        <v>0</v>
      </c>
      <c r="F149" s="238">
        <f t="shared" si="71"/>
        <v>0</v>
      </c>
      <c r="G149" s="238">
        <f t="shared" si="71"/>
        <v>0</v>
      </c>
      <c r="H149" s="238">
        <f t="shared" si="71"/>
        <v>0</v>
      </c>
    </row>
    <row r="150" spans="1:8" ht="15.75" customHeight="1">
      <c r="A150" s="270">
        <f t="shared" si="65"/>
        <v>0</v>
      </c>
      <c r="B150" s="238">
        <f t="shared" ref="B150:H150" si="72">B98-(B98*$G$7)</f>
        <v>0</v>
      </c>
      <c r="C150" s="238">
        <f t="shared" si="72"/>
        <v>0</v>
      </c>
      <c r="D150" s="238">
        <f t="shared" si="72"/>
        <v>0</v>
      </c>
      <c r="E150" s="238">
        <f t="shared" si="72"/>
        <v>0</v>
      </c>
      <c r="F150" s="238">
        <f t="shared" si="72"/>
        <v>0</v>
      </c>
      <c r="G150" s="238">
        <f t="shared" si="72"/>
        <v>0</v>
      </c>
      <c r="H150" s="238">
        <f t="shared" si="72"/>
        <v>0</v>
      </c>
    </row>
    <row r="151" spans="1:8" ht="15.75" customHeight="1">
      <c r="A151" s="270">
        <f t="shared" si="65"/>
        <v>0</v>
      </c>
      <c r="B151" s="238">
        <f t="shared" ref="B151:H151" si="73">B99-(B99*$G$7)</f>
        <v>0</v>
      </c>
      <c r="C151" s="238">
        <f t="shared" si="73"/>
        <v>0</v>
      </c>
      <c r="D151" s="238">
        <f t="shared" si="73"/>
        <v>0</v>
      </c>
      <c r="E151" s="238">
        <f t="shared" si="73"/>
        <v>0</v>
      </c>
      <c r="F151" s="238">
        <f t="shared" si="73"/>
        <v>0</v>
      </c>
      <c r="G151" s="238">
        <f t="shared" si="73"/>
        <v>0</v>
      </c>
      <c r="H151" s="238">
        <f t="shared" si="73"/>
        <v>0</v>
      </c>
    </row>
    <row r="152" spans="1:8" ht="15.75" customHeight="1">
      <c r="A152" s="270">
        <f t="shared" si="65"/>
        <v>0</v>
      </c>
      <c r="B152" s="238">
        <f t="shared" ref="B152:H152" si="74">B100-(B100*$G$7)</f>
        <v>0</v>
      </c>
      <c r="C152" s="238">
        <f t="shared" si="74"/>
        <v>0</v>
      </c>
      <c r="D152" s="238">
        <f t="shared" si="74"/>
        <v>0</v>
      </c>
      <c r="E152" s="238">
        <f t="shared" si="74"/>
        <v>0</v>
      </c>
      <c r="F152" s="238">
        <f t="shared" si="74"/>
        <v>0</v>
      </c>
      <c r="G152" s="238">
        <f t="shared" si="74"/>
        <v>0</v>
      </c>
      <c r="H152" s="238">
        <f t="shared" si="74"/>
        <v>0</v>
      </c>
    </row>
    <row r="153" spans="1:8" ht="15.75" customHeight="1">
      <c r="A153" s="270" t="str">
        <f t="shared" si="65"/>
        <v>Onion</v>
      </c>
      <c r="B153" s="238">
        <f t="shared" ref="B153:H153" si="75">B101-(B101*$G$7)</f>
        <v>0</v>
      </c>
      <c r="C153" s="238">
        <f t="shared" si="75"/>
        <v>0</v>
      </c>
      <c r="D153" s="238">
        <f t="shared" si="75"/>
        <v>0</v>
      </c>
      <c r="E153" s="238">
        <f t="shared" si="75"/>
        <v>0</v>
      </c>
      <c r="F153" s="238">
        <f t="shared" si="75"/>
        <v>0</v>
      </c>
      <c r="G153" s="238">
        <f t="shared" si="75"/>
        <v>0</v>
      </c>
      <c r="H153" s="238">
        <f t="shared" si="75"/>
        <v>0</v>
      </c>
    </row>
    <row r="154" spans="1:8" ht="15.75" customHeight="1">
      <c r="A154" s="270" t="str">
        <f t="shared" si="65"/>
        <v>Tomato</v>
      </c>
      <c r="B154" s="238">
        <f t="shared" ref="B154:H154" si="76">B102-(B102*$G$7)</f>
        <v>0</v>
      </c>
      <c r="C154" s="238">
        <f t="shared" si="76"/>
        <v>0</v>
      </c>
      <c r="D154" s="238">
        <f t="shared" si="76"/>
        <v>0</v>
      </c>
      <c r="E154" s="238">
        <f t="shared" si="76"/>
        <v>0</v>
      </c>
      <c r="F154" s="238">
        <f t="shared" si="76"/>
        <v>0</v>
      </c>
      <c r="G154" s="238">
        <f t="shared" si="76"/>
        <v>0</v>
      </c>
      <c r="H154" s="238">
        <f t="shared" si="76"/>
        <v>0</v>
      </c>
    </row>
    <row r="155" spans="1:8" ht="15.75" customHeight="1">
      <c r="A155" s="270" t="str">
        <f t="shared" si="65"/>
        <v>Okra</v>
      </c>
      <c r="B155" s="238">
        <f t="shared" ref="B155:H155" si="77">B103-(B103*$G$7)</f>
        <v>0</v>
      </c>
      <c r="C155" s="238">
        <f t="shared" si="77"/>
        <v>0</v>
      </c>
      <c r="D155" s="238">
        <f t="shared" si="77"/>
        <v>0</v>
      </c>
      <c r="E155" s="238">
        <f t="shared" si="77"/>
        <v>0</v>
      </c>
      <c r="F155" s="238">
        <f t="shared" si="77"/>
        <v>0</v>
      </c>
      <c r="G155" s="238">
        <f t="shared" si="77"/>
        <v>0</v>
      </c>
      <c r="H155" s="238">
        <f t="shared" si="77"/>
        <v>0</v>
      </c>
    </row>
    <row r="156" spans="1:8" ht="15.75" customHeight="1">
      <c r="A156" s="270" t="str">
        <f t="shared" si="65"/>
        <v>Chilli</v>
      </c>
      <c r="B156" s="238">
        <f t="shared" ref="B156:H156" si="78">B104-(B104*$G$7)</f>
        <v>0</v>
      </c>
      <c r="C156" s="238">
        <f t="shared" si="78"/>
        <v>0</v>
      </c>
      <c r="D156" s="238">
        <f t="shared" si="78"/>
        <v>0</v>
      </c>
      <c r="E156" s="238">
        <f t="shared" si="78"/>
        <v>0</v>
      </c>
      <c r="F156" s="238">
        <f t="shared" si="78"/>
        <v>0</v>
      </c>
      <c r="G156" s="238">
        <f t="shared" si="78"/>
        <v>0</v>
      </c>
      <c r="H156" s="238">
        <f t="shared" si="78"/>
        <v>0</v>
      </c>
    </row>
    <row r="157" spans="1:8" ht="15.75" customHeight="1">
      <c r="A157" s="270" t="str">
        <f t="shared" si="65"/>
        <v>Brinjal</v>
      </c>
      <c r="B157" s="238">
        <f t="shared" ref="B157:H157" si="79">B105-(B105*$G$7)</f>
        <v>0</v>
      </c>
      <c r="C157" s="238">
        <f t="shared" si="79"/>
        <v>0</v>
      </c>
      <c r="D157" s="238">
        <f t="shared" si="79"/>
        <v>0</v>
      </c>
      <c r="E157" s="238">
        <f t="shared" si="79"/>
        <v>0</v>
      </c>
      <c r="F157" s="238">
        <f t="shared" si="79"/>
        <v>0</v>
      </c>
      <c r="G157" s="238">
        <f t="shared" si="79"/>
        <v>0</v>
      </c>
      <c r="H157" s="238">
        <f t="shared" si="79"/>
        <v>0</v>
      </c>
    </row>
    <row r="158" spans="1:8" ht="15.75" customHeight="1">
      <c r="A158" s="270">
        <f t="shared" si="65"/>
        <v>0</v>
      </c>
      <c r="B158" s="238">
        <f t="shared" ref="B158:H158" si="80">B106-(B106*$G$7)</f>
        <v>0</v>
      </c>
      <c r="C158" s="238">
        <f t="shared" si="80"/>
        <v>0</v>
      </c>
      <c r="D158" s="238">
        <f t="shared" si="80"/>
        <v>0</v>
      </c>
      <c r="E158" s="238">
        <f t="shared" si="80"/>
        <v>0</v>
      </c>
      <c r="F158" s="238">
        <f t="shared" si="80"/>
        <v>0</v>
      </c>
      <c r="G158" s="238">
        <f t="shared" si="80"/>
        <v>0</v>
      </c>
      <c r="H158" s="238">
        <f t="shared" si="80"/>
        <v>0</v>
      </c>
    </row>
    <row r="159" spans="1:8" ht="15.75" customHeight="1">
      <c r="A159" s="270">
        <f t="shared" si="65"/>
        <v>0</v>
      </c>
      <c r="B159" s="238">
        <f t="shared" ref="B159:H159" si="81">B107-(B107*$G$7)</f>
        <v>0</v>
      </c>
      <c r="C159" s="238">
        <f t="shared" si="81"/>
        <v>0</v>
      </c>
      <c r="D159" s="238">
        <f t="shared" si="81"/>
        <v>0</v>
      </c>
      <c r="E159" s="238">
        <f t="shared" si="81"/>
        <v>0</v>
      </c>
      <c r="F159" s="238">
        <f t="shared" si="81"/>
        <v>0</v>
      </c>
      <c r="G159" s="238">
        <f t="shared" si="81"/>
        <v>0</v>
      </c>
      <c r="H159" s="238">
        <f t="shared" si="81"/>
        <v>0</v>
      </c>
    </row>
    <row r="160" spans="1:8" ht="15.75" customHeight="1">
      <c r="A160" s="270">
        <f t="shared" si="65"/>
        <v>0</v>
      </c>
      <c r="B160" s="238">
        <f t="shared" ref="B160:H160" si="82">B108-(B108*$G$7)</f>
        <v>0</v>
      </c>
      <c r="C160" s="238">
        <f t="shared" si="82"/>
        <v>0</v>
      </c>
      <c r="D160" s="238">
        <f t="shared" si="82"/>
        <v>0</v>
      </c>
      <c r="E160" s="238">
        <f t="shared" si="82"/>
        <v>0</v>
      </c>
      <c r="F160" s="238">
        <f t="shared" si="82"/>
        <v>0</v>
      </c>
      <c r="G160" s="238">
        <f t="shared" si="82"/>
        <v>0</v>
      </c>
      <c r="H160" s="238">
        <f t="shared" si="82"/>
        <v>0</v>
      </c>
    </row>
    <row r="161" spans="1:20" ht="15.75" customHeight="1">
      <c r="A161" s="270">
        <f t="shared" si="65"/>
        <v>0</v>
      </c>
      <c r="B161" s="238">
        <f t="shared" ref="B161:H161" si="83">B109-(B109*$G$7)</f>
        <v>0</v>
      </c>
      <c r="C161" s="238">
        <f t="shared" si="83"/>
        <v>0</v>
      </c>
      <c r="D161" s="238">
        <f t="shared" si="83"/>
        <v>0</v>
      </c>
      <c r="E161" s="238">
        <f t="shared" si="83"/>
        <v>0</v>
      </c>
      <c r="F161" s="238">
        <f t="shared" si="83"/>
        <v>0</v>
      </c>
      <c r="G161" s="238">
        <f t="shared" si="83"/>
        <v>0</v>
      </c>
      <c r="H161" s="238">
        <f t="shared" si="83"/>
        <v>0</v>
      </c>
    </row>
    <row r="162" spans="1:20" ht="15.75" customHeight="1">
      <c r="A162" s="270">
        <f t="shared" si="65"/>
        <v>0</v>
      </c>
      <c r="B162" s="238">
        <f t="shared" ref="B162:H162" si="84">B110-(B110*$G$7)</f>
        <v>0</v>
      </c>
      <c r="C162" s="238">
        <f t="shared" si="84"/>
        <v>0</v>
      </c>
      <c r="D162" s="238">
        <f t="shared" si="84"/>
        <v>0</v>
      </c>
      <c r="E162" s="238">
        <f t="shared" si="84"/>
        <v>0</v>
      </c>
      <c r="F162" s="238">
        <f t="shared" si="84"/>
        <v>0</v>
      </c>
      <c r="G162" s="238">
        <f t="shared" si="84"/>
        <v>0</v>
      </c>
      <c r="H162" s="238">
        <f t="shared" si="84"/>
        <v>0</v>
      </c>
    </row>
    <row r="163" spans="1:20" ht="15.75" customHeight="1">
      <c r="A163" s="270">
        <f t="shared" si="65"/>
        <v>0</v>
      </c>
      <c r="B163" s="238">
        <f t="shared" ref="B163:H163" si="85">B111-(B111*$G$7)</f>
        <v>0</v>
      </c>
      <c r="C163" s="238">
        <f t="shared" si="85"/>
        <v>0</v>
      </c>
      <c r="D163" s="238">
        <f t="shared" si="85"/>
        <v>0</v>
      </c>
      <c r="E163" s="238">
        <f t="shared" si="85"/>
        <v>0</v>
      </c>
      <c r="F163" s="238">
        <f t="shared" si="85"/>
        <v>0</v>
      </c>
      <c r="G163" s="238">
        <f t="shared" si="85"/>
        <v>0</v>
      </c>
      <c r="H163" s="238">
        <f t="shared" si="85"/>
        <v>0</v>
      </c>
    </row>
    <row r="164" spans="1:20" ht="15.75" customHeight="1">
      <c r="A164" s="270">
        <f t="shared" si="65"/>
        <v>0</v>
      </c>
      <c r="B164" s="238">
        <f t="shared" ref="B164:H164" si="86">B112-(B112*$G$7)</f>
        <v>0</v>
      </c>
      <c r="C164" s="238">
        <f t="shared" si="86"/>
        <v>0</v>
      </c>
      <c r="D164" s="238">
        <f t="shared" si="86"/>
        <v>0</v>
      </c>
      <c r="E164" s="238">
        <f t="shared" si="86"/>
        <v>0</v>
      </c>
      <c r="F164" s="238">
        <f t="shared" si="86"/>
        <v>0</v>
      </c>
      <c r="G164" s="238">
        <f t="shared" si="86"/>
        <v>0</v>
      </c>
      <c r="H164" s="238">
        <f t="shared" si="86"/>
        <v>0</v>
      </c>
    </row>
    <row r="165" spans="1:20" ht="15.75" customHeight="1">
      <c r="A165" s="270" t="str">
        <f t="shared" si="65"/>
        <v>Pomegranate</v>
      </c>
      <c r="B165" s="238">
        <f t="shared" ref="B165:H165" si="87">B113-(B113*$G$7)</f>
        <v>0</v>
      </c>
      <c r="C165" s="238">
        <f t="shared" si="87"/>
        <v>0</v>
      </c>
      <c r="D165" s="238">
        <f t="shared" si="87"/>
        <v>0</v>
      </c>
      <c r="E165" s="238">
        <f t="shared" si="87"/>
        <v>0</v>
      </c>
      <c r="F165" s="238">
        <f t="shared" si="87"/>
        <v>0</v>
      </c>
      <c r="G165" s="238">
        <f t="shared" si="87"/>
        <v>0</v>
      </c>
      <c r="H165" s="238">
        <f t="shared" si="87"/>
        <v>0</v>
      </c>
    </row>
    <row r="166" spans="1:20" ht="15.75" customHeight="1">
      <c r="A166" s="270" t="str">
        <f t="shared" si="65"/>
        <v>Custard Apple</v>
      </c>
      <c r="B166" s="238">
        <f t="shared" ref="B166:H166" si="88">B114-(B114*$G$7)</f>
        <v>0</v>
      </c>
      <c r="C166" s="238">
        <f t="shared" si="88"/>
        <v>0</v>
      </c>
      <c r="D166" s="238">
        <f t="shared" si="88"/>
        <v>0</v>
      </c>
      <c r="E166" s="238">
        <f t="shared" si="88"/>
        <v>0</v>
      </c>
      <c r="F166" s="238">
        <f t="shared" si="88"/>
        <v>0</v>
      </c>
      <c r="G166" s="238">
        <f t="shared" si="88"/>
        <v>0</v>
      </c>
      <c r="H166" s="238">
        <f t="shared" si="88"/>
        <v>0</v>
      </c>
    </row>
    <row r="167" spans="1:20" ht="15.75" customHeight="1">
      <c r="A167" s="270" t="str">
        <f t="shared" si="65"/>
        <v>Guava</v>
      </c>
      <c r="B167" s="238">
        <f t="shared" ref="B167:H167" si="89">B115-(B115*$G$7)</f>
        <v>0</v>
      </c>
      <c r="C167" s="238">
        <f t="shared" si="89"/>
        <v>0</v>
      </c>
      <c r="D167" s="238">
        <f t="shared" si="89"/>
        <v>0</v>
      </c>
      <c r="E167" s="238">
        <f t="shared" si="89"/>
        <v>0</v>
      </c>
      <c r="F167" s="238">
        <f t="shared" si="89"/>
        <v>0</v>
      </c>
      <c r="G167" s="238">
        <f t="shared" si="89"/>
        <v>0</v>
      </c>
      <c r="H167" s="238">
        <f t="shared" si="89"/>
        <v>0</v>
      </c>
    </row>
    <row r="168" spans="1:20" ht="15.75" customHeight="1">
      <c r="A168" s="270" t="str">
        <f t="shared" si="65"/>
        <v>Citrus</v>
      </c>
      <c r="B168" s="238">
        <f t="shared" ref="B168:H168" si="90">B116-(B116*$G$7)</f>
        <v>0</v>
      </c>
      <c r="C168" s="238">
        <f t="shared" si="90"/>
        <v>0</v>
      </c>
      <c r="D168" s="238">
        <f t="shared" si="90"/>
        <v>0</v>
      </c>
      <c r="E168" s="238">
        <f t="shared" si="90"/>
        <v>0</v>
      </c>
      <c r="F168" s="238">
        <f t="shared" si="90"/>
        <v>0</v>
      </c>
      <c r="G168" s="238">
        <f t="shared" si="90"/>
        <v>0</v>
      </c>
      <c r="H168" s="238">
        <f t="shared" si="90"/>
        <v>0</v>
      </c>
    </row>
    <row r="169" spans="1:20" ht="15.75" customHeight="1">
      <c r="A169" s="71"/>
    </row>
    <row r="170" spans="1:20" ht="15.75" customHeight="1">
      <c r="A170" s="351" t="s">
        <v>584</v>
      </c>
      <c r="B170" s="335"/>
      <c r="C170" s="335"/>
      <c r="D170" s="335"/>
      <c r="E170" s="335"/>
      <c r="F170" s="335"/>
      <c r="G170" s="335"/>
      <c r="H170" s="335"/>
      <c r="I170" s="335"/>
      <c r="J170" s="335"/>
    </row>
    <row r="171" spans="1:20" ht="15.75" customHeight="1">
      <c r="A171" s="26"/>
      <c r="B171" s="26"/>
      <c r="C171" s="26"/>
      <c r="D171" s="26"/>
      <c r="E171" s="26"/>
      <c r="F171" s="26"/>
      <c r="G171" s="26"/>
      <c r="H171" s="26"/>
    </row>
    <row r="172" spans="1:20" ht="15.75" customHeight="1">
      <c r="A172" s="95"/>
      <c r="B172" s="95"/>
      <c r="C172" s="95"/>
      <c r="D172" s="271">
        <v>1</v>
      </c>
      <c r="E172" s="272">
        <f t="shared" ref="E172:J172" si="91">(D172*5%)+D172</f>
        <v>1.05</v>
      </c>
      <c r="F172" s="272">
        <f t="shared" si="91"/>
        <v>1.1025</v>
      </c>
      <c r="G172" s="272">
        <f t="shared" si="91"/>
        <v>1.1576250000000001</v>
      </c>
      <c r="H172" s="272">
        <f t="shared" si="91"/>
        <v>1.2155062500000002</v>
      </c>
      <c r="I172" s="272">
        <f t="shared" si="91"/>
        <v>1.2762815625000004</v>
      </c>
      <c r="J172" s="272">
        <f t="shared" si="91"/>
        <v>1.3400956406250004</v>
      </c>
      <c r="K172" s="71"/>
      <c r="L172" s="71"/>
      <c r="M172" s="71"/>
      <c r="N172" s="71"/>
      <c r="O172" s="71"/>
      <c r="P172" s="71"/>
      <c r="Q172" s="71"/>
      <c r="R172" s="71"/>
      <c r="S172" s="71"/>
      <c r="T172" s="71"/>
    </row>
    <row r="173" spans="1:20" ht="15.75" customHeight="1">
      <c r="A173" s="71"/>
      <c r="B173" s="71"/>
      <c r="C173" s="71"/>
      <c r="D173" s="71"/>
      <c r="E173" s="71"/>
      <c r="F173" s="71"/>
      <c r="G173" s="71"/>
      <c r="H173" s="71"/>
      <c r="I173" s="71"/>
      <c r="J173" s="71"/>
      <c r="K173" s="71"/>
      <c r="L173" s="71"/>
      <c r="M173" s="71"/>
      <c r="N173" s="71"/>
      <c r="O173" s="71"/>
      <c r="P173" s="71"/>
      <c r="Q173" s="71"/>
      <c r="R173" s="71"/>
      <c r="S173" s="71"/>
      <c r="T173" s="71"/>
    </row>
    <row r="174" spans="1:20" ht="15.75" customHeight="1">
      <c r="A174" s="71"/>
      <c r="B174" s="71"/>
      <c r="C174" s="71"/>
      <c r="D174" s="72"/>
      <c r="E174" s="72"/>
      <c r="F174" s="72"/>
      <c r="G174" s="72"/>
      <c r="H174" s="72"/>
      <c r="I174" s="72"/>
      <c r="J174" s="72"/>
      <c r="K174" s="71"/>
      <c r="L174" s="71"/>
    </row>
    <row r="175" spans="1:20" ht="15.75" customHeight="1">
      <c r="A175" s="128" t="s">
        <v>149</v>
      </c>
      <c r="B175" s="128"/>
      <c r="C175" s="128" t="s">
        <v>132</v>
      </c>
      <c r="D175" s="129" t="s">
        <v>152</v>
      </c>
      <c r="E175" s="129" t="s">
        <v>153</v>
      </c>
      <c r="F175" s="129" t="s">
        <v>154</v>
      </c>
      <c r="G175" s="129" t="s">
        <v>155</v>
      </c>
      <c r="H175" s="129" t="s">
        <v>156</v>
      </c>
      <c r="I175" s="129" t="s">
        <v>157</v>
      </c>
      <c r="J175" s="129" t="s">
        <v>158</v>
      </c>
      <c r="K175" s="71"/>
      <c r="L175" s="71"/>
    </row>
    <row r="176" spans="1:20" ht="15.75" customHeight="1">
      <c r="A176" s="79"/>
      <c r="B176" s="79"/>
      <c r="C176" s="79"/>
      <c r="D176" s="76"/>
      <c r="E176" s="76"/>
      <c r="F176" s="76"/>
      <c r="G176" s="76"/>
      <c r="H176" s="76"/>
      <c r="I176" s="76"/>
      <c r="J176" s="76"/>
      <c r="K176" s="71"/>
      <c r="L176" s="71"/>
    </row>
    <row r="177" spans="1:12" ht="15.75" customHeight="1">
      <c r="A177" s="79" t="s">
        <v>348</v>
      </c>
      <c r="B177" s="79"/>
      <c r="C177" s="79"/>
      <c r="D177" s="76"/>
      <c r="E177" s="76"/>
      <c r="F177" s="76"/>
      <c r="G177" s="76"/>
      <c r="H177" s="76"/>
      <c r="I177" s="76"/>
      <c r="J177" s="76"/>
      <c r="K177" s="71"/>
      <c r="L177" s="71"/>
    </row>
    <row r="178" spans="1:12" ht="15.75" customHeight="1">
      <c r="A178" s="270" t="str">
        <f t="shared" ref="A178:A198" si="92">A120</f>
        <v>Soybean</v>
      </c>
      <c r="B178" s="76" t="s">
        <v>585</v>
      </c>
      <c r="C178" s="273">
        <v>4000</v>
      </c>
      <c r="D178" s="270">
        <f>(B120*(1-'5.Closing Stock &amp; W Capital'!$D$16))*C$178*D172</f>
        <v>0</v>
      </c>
      <c r="E178" s="270">
        <f>((C120*(1-'5.Closing Stock &amp; W Capital'!$D$16))+(B120*'5.Closing Stock &amp; W Capital'!$D$16))*$C178*E$172</f>
        <v>0</v>
      </c>
      <c r="F178" s="270">
        <f>((D120*(1-'5.Closing Stock &amp; W Capital'!$D$16))+(C120*'5.Closing Stock &amp; W Capital'!$D$16))*$C178*F$172</f>
        <v>0</v>
      </c>
      <c r="G178" s="270">
        <f>((E120*(1-'5.Closing Stock &amp; W Capital'!$D$16))+(D120*'5.Closing Stock &amp; W Capital'!$D$16))*$C178*G$172</f>
        <v>0</v>
      </c>
      <c r="H178" s="270">
        <f>((F120*(1-'5.Closing Stock &amp; W Capital'!$D$16))+(E120*'5.Closing Stock &amp; W Capital'!$D$16))*$C178*H$172</f>
        <v>0</v>
      </c>
      <c r="I178" s="270">
        <f>((G120*(1-'5.Closing Stock &amp; W Capital'!$D$16))+(F120*'5.Closing Stock &amp; W Capital'!$D$16))*$C178*I$172</f>
        <v>0</v>
      </c>
      <c r="J178" s="270">
        <f>((H120*(1-'5.Closing Stock &amp; W Capital'!$D$16))+(G120*'5.Closing Stock &amp; W Capital'!$D$16))*$C178*J$172</f>
        <v>0</v>
      </c>
      <c r="K178" s="71"/>
      <c r="L178" s="71"/>
    </row>
    <row r="179" spans="1:12" ht="15.75" customHeight="1">
      <c r="A179" s="270" t="str">
        <f t="shared" si="92"/>
        <v>Red Gram/Tur</v>
      </c>
      <c r="B179" s="76" t="s">
        <v>585</v>
      </c>
      <c r="C179" s="273">
        <v>6000</v>
      </c>
      <c r="D179" s="270">
        <f>(B121*(1-'5.Closing Stock &amp; W Capital'!$D$16))*$C179*D$172</f>
        <v>0</v>
      </c>
      <c r="E179" s="270">
        <f>((C121*(1-'5.Closing Stock &amp; W Capital'!$D$16))+(B121*'5.Closing Stock &amp; W Capital'!$D$16))*$C179*E$172</f>
        <v>0</v>
      </c>
      <c r="F179" s="270">
        <f>((D121*(1-'5.Closing Stock &amp; W Capital'!$D$16))+(C121*'5.Closing Stock &amp; W Capital'!$D$16))*$C179*F$172</f>
        <v>0</v>
      </c>
      <c r="G179" s="270">
        <f>((E121*(1-'5.Closing Stock &amp; W Capital'!$D$16))+(D121*'5.Closing Stock &amp; W Capital'!$D$16))*$C179*G$172</f>
        <v>0</v>
      </c>
      <c r="H179" s="270">
        <f>((F121*(1-'5.Closing Stock &amp; W Capital'!$D$16))+(E121*'5.Closing Stock &amp; W Capital'!$D$16))*$C179*H$172</f>
        <v>0</v>
      </c>
      <c r="I179" s="270">
        <f>((G121*(1-'5.Closing Stock &amp; W Capital'!$D$16))+(F121*'5.Closing Stock &amp; W Capital'!$D$16))*$C179*I$172</f>
        <v>0</v>
      </c>
      <c r="J179" s="270">
        <f>((H121*(1-'5.Closing Stock &amp; W Capital'!$D$16))+(G121*'5.Closing Stock &amp; W Capital'!$D$16))*$C179*J$172</f>
        <v>0</v>
      </c>
      <c r="K179" s="71"/>
      <c r="L179" s="71"/>
    </row>
    <row r="180" spans="1:12" ht="15.75" customHeight="1">
      <c r="A180" s="270" t="str">
        <f t="shared" si="92"/>
        <v>Turmeric</v>
      </c>
      <c r="B180" s="76" t="s">
        <v>585</v>
      </c>
      <c r="C180" s="273">
        <v>8100</v>
      </c>
      <c r="D180" s="270">
        <f>(B122*(1-'5.Closing Stock &amp; W Capital'!$D$16))*$C180*D$172</f>
        <v>28214486.999999996</v>
      </c>
      <c r="E180" s="270">
        <f>((C122*(1-'5.Closing Stock &amp; W Capital'!$D$16))+(B122*'5.Closing Stock &amp; W Capital'!$D$16))*$C180*E$172</f>
        <v>31184432.999999996</v>
      </c>
      <c r="F180" s="270">
        <f>((D122*(1-'5.Closing Stock &amp; W Capital'!$D$16))+(C122*'5.Closing Stock &amp; W Capital'!$D$16))*$C180*F$172</f>
        <v>32743654.649999999</v>
      </c>
      <c r="G180" s="270">
        <f>((E122*(1-'5.Closing Stock &amp; W Capital'!$D$16))+(D122*'5.Closing Stock &amp; W Capital'!$D$16))*$C180*G$172</f>
        <v>34380837.3825</v>
      </c>
      <c r="H180" s="270">
        <f>((F122*(1-'5.Closing Stock &amp; W Capital'!$D$16))+(E122*'5.Closing Stock &amp; W Capital'!$D$16))*$C180*H$172</f>
        <v>36099879.251625001</v>
      </c>
      <c r="I180" s="270">
        <f>((G122*(1-'5.Closing Stock &amp; W Capital'!$D$16))+(F122*'5.Closing Stock &amp; W Capital'!$D$16))*$C180*I$172</f>
        <v>37904873.214206256</v>
      </c>
      <c r="J180" s="270">
        <f>((H122*(1-'5.Closing Stock &amp; W Capital'!$D$16))+(G122*'5.Closing Stock &amp; W Capital'!$D$16))*$C180*J$172</f>
        <v>39800116.874916568</v>
      </c>
      <c r="K180" s="71"/>
      <c r="L180" s="71"/>
    </row>
    <row r="181" spans="1:12" ht="15.75" customHeight="1">
      <c r="A181" s="270" t="str">
        <f t="shared" si="92"/>
        <v>Green Gram/ Moong</v>
      </c>
      <c r="B181" s="76" t="s">
        <v>585</v>
      </c>
      <c r="C181" s="273">
        <v>6000</v>
      </c>
      <c r="D181" s="270">
        <f>(B123*(1-'5.Closing Stock &amp; W Capital'!$D$16))*$C181*D$172</f>
        <v>0</v>
      </c>
      <c r="E181" s="270">
        <f>((C123*(1-'5.Closing Stock &amp; W Capital'!$D$16))+(B123*'5.Closing Stock &amp; W Capital'!$D$16))*$C181*E$172</f>
        <v>0</v>
      </c>
      <c r="F181" s="270">
        <f>((D123*(1-'5.Closing Stock &amp; W Capital'!$D$16))+(C123*'5.Closing Stock &amp; W Capital'!$D$16))*$C181*F$172</f>
        <v>0</v>
      </c>
      <c r="G181" s="270">
        <f>((E123*(1-'5.Closing Stock &amp; W Capital'!$D$16))+(D123*'5.Closing Stock &amp; W Capital'!$D$16))*$C181*G$172</f>
        <v>0</v>
      </c>
      <c r="H181" s="270">
        <f>((F123*(1-'5.Closing Stock &amp; W Capital'!$D$16))+(E123*'5.Closing Stock &amp; W Capital'!$D$16))*$C181*H$172</f>
        <v>0</v>
      </c>
      <c r="I181" s="270">
        <f>((G123*(1-'5.Closing Stock &amp; W Capital'!$D$16))+(F123*'5.Closing Stock &amp; W Capital'!$D$16))*$C181*I$172</f>
        <v>0</v>
      </c>
      <c r="J181" s="270">
        <f>((H123*(1-'5.Closing Stock &amp; W Capital'!$D$16))+(G123*'5.Closing Stock &amp; W Capital'!$D$16))*$C181*J$172</f>
        <v>0</v>
      </c>
      <c r="K181" s="71"/>
      <c r="L181" s="71"/>
    </row>
    <row r="182" spans="1:12" ht="15.75" customHeight="1">
      <c r="A182" s="270" t="str">
        <f t="shared" si="92"/>
        <v>Maize</v>
      </c>
      <c r="B182" s="76" t="s">
        <v>585</v>
      </c>
      <c r="C182" s="273"/>
      <c r="D182" s="270">
        <f>(B124*(1-'5.Closing Stock &amp; W Capital'!$D$16))*$C182*D$172</f>
        <v>0</v>
      </c>
      <c r="E182" s="270">
        <f>((C124*(1-'5.Closing Stock &amp; W Capital'!$D$16))+(B124*'5.Closing Stock &amp; W Capital'!$D$16))*$C182*E$172</f>
        <v>0</v>
      </c>
      <c r="F182" s="270">
        <f>((D124*(1-'5.Closing Stock &amp; W Capital'!$D$16))+(C124*'5.Closing Stock &amp; W Capital'!$D$16))*$C182*F$172</f>
        <v>0</v>
      </c>
      <c r="G182" s="270">
        <f>((E124*(1-'5.Closing Stock &amp; W Capital'!$D$16))+(D124*'5.Closing Stock &amp; W Capital'!$D$16))*$C182*G$172</f>
        <v>0</v>
      </c>
      <c r="H182" s="270">
        <f>((F124*(1-'5.Closing Stock &amp; W Capital'!$D$16))+(E124*'5.Closing Stock &amp; W Capital'!$D$16))*$C182*H$172</f>
        <v>0</v>
      </c>
      <c r="I182" s="270">
        <f>((G124*(1-'5.Closing Stock &amp; W Capital'!$D$16))+(F124*'5.Closing Stock &amp; W Capital'!$D$16))*$C182*I$172</f>
        <v>0</v>
      </c>
      <c r="J182" s="270">
        <f>((H124*(1-'5.Closing Stock &amp; W Capital'!$D$16))+(G124*'5.Closing Stock &amp; W Capital'!$D$16))*$C182*J$172</f>
        <v>0</v>
      </c>
      <c r="K182" s="71"/>
      <c r="L182" s="71"/>
    </row>
    <row r="183" spans="1:12" ht="15.75" customHeight="1">
      <c r="A183" s="270" t="str">
        <f t="shared" si="92"/>
        <v>Black Gram/Udid</v>
      </c>
      <c r="B183" s="76" t="s">
        <v>585</v>
      </c>
      <c r="C183" s="273">
        <v>6500</v>
      </c>
      <c r="D183" s="270">
        <f>(B125*(1-'5.Closing Stock &amp; W Capital'!$D$16))*$C183*D$172</f>
        <v>0</v>
      </c>
      <c r="E183" s="270">
        <f>((C125*(1-'5.Closing Stock &amp; W Capital'!$D$16))+(B125*'5.Closing Stock &amp; W Capital'!$D$16))*$C183*E$172</f>
        <v>0</v>
      </c>
      <c r="F183" s="270">
        <f>((D125*(1-'5.Closing Stock &amp; W Capital'!$D$16))+(C125*'5.Closing Stock &amp; W Capital'!$D$16))*$C183*F$172</f>
        <v>0</v>
      </c>
      <c r="G183" s="270">
        <f>((E125*(1-'5.Closing Stock &amp; W Capital'!$D$16))+(D125*'5.Closing Stock &amp; W Capital'!$D$16))*$C183*G$172</f>
        <v>0</v>
      </c>
      <c r="H183" s="270">
        <f>((F125*(1-'5.Closing Stock &amp; W Capital'!$D$16))+(E125*'5.Closing Stock &amp; W Capital'!$D$16))*$C183*H$172</f>
        <v>0</v>
      </c>
      <c r="I183" s="270">
        <f>((G125*(1-'5.Closing Stock &amp; W Capital'!$D$16))+(F125*'5.Closing Stock &amp; W Capital'!$D$16))*$C183*I$172</f>
        <v>0</v>
      </c>
      <c r="J183" s="270">
        <f>((H125*(1-'5.Closing Stock &amp; W Capital'!$D$16))+(G125*'5.Closing Stock &amp; W Capital'!$D$16))*$C183*J$172</f>
        <v>0</v>
      </c>
      <c r="K183" s="71"/>
      <c r="L183" s="71"/>
    </row>
    <row r="184" spans="1:12" ht="15.75" customHeight="1">
      <c r="A184" s="270" t="str">
        <f t="shared" si="92"/>
        <v>Bajra</v>
      </c>
      <c r="B184" s="76" t="s">
        <v>585</v>
      </c>
      <c r="C184" s="273">
        <v>2000</v>
      </c>
      <c r="D184" s="270">
        <f>(B126*(1-'5.Closing Stock &amp; W Capital'!$D$16))*$C184*D$172</f>
        <v>0</v>
      </c>
      <c r="E184" s="270">
        <f>((C126*(1-'5.Closing Stock &amp; W Capital'!$D$16))+(B126*'5.Closing Stock &amp; W Capital'!$D$16))*$C184*E$172</f>
        <v>0</v>
      </c>
      <c r="F184" s="270">
        <f>((D126*(1-'5.Closing Stock &amp; W Capital'!$D$16))+(C126*'5.Closing Stock &amp; W Capital'!$D$16))*$C184*F$172</f>
        <v>0</v>
      </c>
      <c r="G184" s="270">
        <f>((E126*(1-'5.Closing Stock &amp; W Capital'!$D$16))+(D126*'5.Closing Stock &amp; W Capital'!$D$16))*$C184*G$172</f>
        <v>0</v>
      </c>
      <c r="H184" s="270">
        <f>((F126*(1-'5.Closing Stock &amp; W Capital'!$D$16))+(E126*'5.Closing Stock &amp; W Capital'!$D$16))*$C184*H$172</f>
        <v>0</v>
      </c>
      <c r="I184" s="270">
        <f>((G126*(1-'5.Closing Stock &amp; W Capital'!$D$16))+(F126*'5.Closing Stock &amp; W Capital'!$D$16))*$C184*I$172</f>
        <v>0</v>
      </c>
      <c r="J184" s="270">
        <f>((H126*(1-'5.Closing Stock &amp; W Capital'!$D$16))+(G126*'5.Closing Stock &amp; W Capital'!$D$16))*$C184*J$172</f>
        <v>0</v>
      </c>
      <c r="K184" s="71"/>
      <c r="L184" s="71"/>
    </row>
    <row r="185" spans="1:12" ht="15.75" customHeight="1">
      <c r="A185" s="270" t="str">
        <f t="shared" si="92"/>
        <v>Jawar</v>
      </c>
      <c r="B185" s="76" t="s">
        <v>585</v>
      </c>
      <c r="C185" s="273"/>
      <c r="D185" s="270">
        <f>(B127*(1-'5.Closing Stock &amp; W Capital'!$D$16))*$C185*D$172</f>
        <v>0</v>
      </c>
      <c r="E185" s="270">
        <f>((C127*(1-'5.Closing Stock &amp; W Capital'!$D$16))+(B127*'5.Closing Stock &amp; W Capital'!$D$16))*$C185*E$172</f>
        <v>0</v>
      </c>
      <c r="F185" s="270">
        <f>((D127*(1-'5.Closing Stock &amp; W Capital'!$D$16))+(C127*'5.Closing Stock &amp; W Capital'!$D$16))*$C185*F$172</f>
        <v>0</v>
      </c>
      <c r="G185" s="270">
        <f>((E127*(1-'5.Closing Stock &amp; W Capital'!$D$16))+(D127*'5.Closing Stock &amp; W Capital'!$D$16))*$C185*G$172</f>
        <v>0</v>
      </c>
      <c r="H185" s="270">
        <f>((F127*(1-'5.Closing Stock &amp; W Capital'!$D$16))+(E127*'5.Closing Stock &amp; W Capital'!$D$16))*$C185*H$172</f>
        <v>0</v>
      </c>
      <c r="I185" s="270">
        <f>((G127*(1-'5.Closing Stock &amp; W Capital'!$D$16))+(F127*'5.Closing Stock &amp; W Capital'!$D$16))*$C185*I$172</f>
        <v>0</v>
      </c>
      <c r="J185" s="270">
        <f>((H127*(1-'5.Closing Stock &amp; W Capital'!$D$16))+(G127*'5.Closing Stock &amp; W Capital'!$D$16))*$C185*J$172</f>
        <v>0</v>
      </c>
      <c r="K185" s="71"/>
      <c r="L185" s="71"/>
    </row>
    <row r="186" spans="1:12" ht="15.75" customHeight="1">
      <c r="A186" s="270" t="str">
        <f t="shared" si="92"/>
        <v>Sunflower</v>
      </c>
      <c r="B186" s="76" t="s">
        <v>585</v>
      </c>
      <c r="C186" s="273"/>
      <c r="D186" s="270">
        <f>(B128*(1-'5.Closing Stock &amp; W Capital'!$D$16))*$C186*D$172</f>
        <v>0</v>
      </c>
      <c r="E186" s="270">
        <f>((C128*(1-'5.Closing Stock &amp; W Capital'!$D$16))+(B128*'5.Closing Stock &amp; W Capital'!$D$16))*$C186*E$172</f>
        <v>0</v>
      </c>
      <c r="F186" s="270">
        <f>((D128*(1-'5.Closing Stock &amp; W Capital'!$D$16))+(C128*'5.Closing Stock &amp; W Capital'!$D$16))*$C186*F$172</f>
        <v>0</v>
      </c>
      <c r="G186" s="270">
        <f>((E128*(1-'5.Closing Stock &amp; W Capital'!$D$16))+(D128*'5.Closing Stock &amp; W Capital'!$D$16))*$C186*G$172</f>
        <v>0</v>
      </c>
      <c r="H186" s="270">
        <f>((F128*(1-'5.Closing Stock &amp; W Capital'!$D$16))+(E128*'5.Closing Stock &amp; W Capital'!$D$16))*$C186*H$172</f>
        <v>0</v>
      </c>
      <c r="I186" s="270">
        <f>((G128*(1-'5.Closing Stock &amp; W Capital'!$D$16))+(F128*'5.Closing Stock &amp; W Capital'!$D$16))*$C186*I$172</f>
        <v>0</v>
      </c>
      <c r="J186" s="270">
        <f>((H128*(1-'5.Closing Stock &amp; W Capital'!$D$16))+(G128*'5.Closing Stock &amp; W Capital'!$D$16))*$C186*J$172</f>
        <v>0</v>
      </c>
      <c r="K186" s="71"/>
      <c r="L186" s="71"/>
    </row>
    <row r="187" spans="1:12" ht="15.75" customHeight="1">
      <c r="A187" s="270" t="str">
        <f t="shared" si="92"/>
        <v>Wheat</v>
      </c>
      <c r="B187" s="76" t="s">
        <v>585</v>
      </c>
      <c r="C187" s="273"/>
      <c r="D187" s="270">
        <f>(B129*(1-'5.Closing Stock &amp; W Capital'!$D$16))*$C187*D$172</f>
        <v>0</v>
      </c>
      <c r="E187" s="270">
        <f>((C129*(1-'5.Closing Stock &amp; W Capital'!$D$16))+(B129*'5.Closing Stock &amp; W Capital'!$D$16))*$C187*E$172</f>
        <v>0</v>
      </c>
      <c r="F187" s="270">
        <f>((D129*(1-'5.Closing Stock &amp; W Capital'!$D$16))+(C129*'5.Closing Stock &amp; W Capital'!$D$16))*$C187*F$172</f>
        <v>0</v>
      </c>
      <c r="G187" s="270">
        <f>((E129*(1-'5.Closing Stock &amp; W Capital'!$D$16))+(D129*'5.Closing Stock &amp; W Capital'!$D$16))*$C187*G$172</f>
        <v>0</v>
      </c>
      <c r="H187" s="270">
        <f>((F129*(1-'5.Closing Stock &amp; W Capital'!$D$16))+(E129*'5.Closing Stock &amp; W Capital'!$D$16))*$C187*H$172</f>
        <v>0</v>
      </c>
      <c r="I187" s="270">
        <f>((G129*(1-'5.Closing Stock &amp; W Capital'!$D$16))+(F129*'5.Closing Stock &amp; W Capital'!$D$16))*$C187*I$172</f>
        <v>0</v>
      </c>
      <c r="J187" s="270">
        <f>((H129*(1-'5.Closing Stock &amp; W Capital'!$D$16))+(G129*'5.Closing Stock &amp; W Capital'!$D$16))*$C187*J$172</f>
        <v>0</v>
      </c>
      <c r="K187" s="71"/>
      <c r="L187" s="71"/>
    </row>
    <row r="188" spans="1:12" ht="15.75" customHeight="1">
      <c r="A188" s="270" t="str">
        <f t="shared" si="92"/>
        <v>Bengal Gram/Channa</v>
      </c>
      <c r="B188" s="76" t="s">
        <v>585</v>
      </c>
      <c r="C188" s="273">
        <v>5000</v>
      </c>
      <c r="D188" s="270">
        <f>(B130*(1-'5.Closing Stock &amp; W Capital'!$D$16))*$C188*D$172</f>
        <v>0</v>
      </c>
      <c r="E188" s="270">
        <f>((C130*(1-'5.Closing Stock &amp; W Capital'!$D$16))+(B130*'5.Closing Stock &amp; W Capital'!$D$16))*$C188*E$172</f>
        <v>0</v>
      </c>
      <c r="F188" s="270">
        <f>((D130*(1-'5.Closing Stock &amp; W Capital'!$D$16))+(C130*'5.Closing Stock &amp; W Capital'!$D$16))*$C188*F$172</f>
        <v>0</v>
      </c>
      <c r="G188" s="270">
        <f>((E130*(1-'5.Closing Stock &amp; W Capital'!$D$16))+(D130*'5.Closing Stock &amp; W Capital'!$D$16))*$C188*G$172</f>
        <v>0</v>
      </c>
      <c r="H188" s="270">
        <f>((F130*(1-'5.Closing Stock &amp; W Capital'!$D$16))+(E130*'5.Closing Stock &amp; W Capital'!$D$16))*$C188*H$172</f>
        <v>0</v>
      </c>
      <c r="I188" s="270">
        <f>((G130*(1-'5.Closing Stock &amp; W Capital'!$D$16))+(F130*'5.Closing Stock &amp; W Capital'!$D$16))*$C188*I$172</f>
        <v>0</v>
      </c>
      <c r="J188" s="270">
        <f>((H130*(1-'5.Closing Stock &amp; W Capital'!$D$16))+(G130*'5.Closing Stock &amp; W Capital'!$D$16))*$C188*J$172</f>
        <v>0</v>
      </c>
      <c r="K188" s="71"/>
      <c r="L188" s="71"/>
    </row>
    <row r="189" spans="1:12" ht="15.75" customHeight="1">
      <c r="A189" s="270" t="str">
        <f t="shared" si="92"/>
        <v>Jawar</v>
      </c>
      <c r="B189" s="76" t="s">
        <v>585</v>
      </c>
      <c r="C189" s="273"/>
      <c r="D189" s="270">
        <f>(B131*(1-'5.Closing Stock &amp; W Capital'!$D$16))*$C189*D$172</f>
        <v>0</v>
      </c>
      <c r="E189" s="270">
        <f>((C131*(1-'5.Closing Stock &amp; W Capital'!$D$16))+(B131*'5.Closing Stock &amp; W Capital'!$D$16))*$C189*E$172</f>
        <v>0</v>
      </c>
      <c r="F189" s="270">
        <f>((D131*(1-'5.Closing Stock &amp; W Capital'!$D$16))+(C131*'5.Closing Stock &amp; W Capital'!$D$16))*$C189*F$172</f>
        <v>0</v>
      </c>
      <c r="G189" s="270">
        <f>((E131*(1-'5.Closing Stock &amp; W Capital'!$D$16))+(D131*'5.Closing Stock &amp; W Capital'!$D$16))*$C189*G$172</f>
        <v>0</v>
      </c>
      <c r="H189" s="270">
        <f>((F131*(1-'5.Closing Stock &amp; W Capital'!$D$16))+(E131*'5.Closing Stock &amp; W Capital'!$D$16))*$C189*H$172</f>
        <v>0</v>
      </c>
      <c r="I189" s="270">
        <f>((G131*(1-'5.Closing Stock &amp; W Capital'!$D$16))+(F131*'5.Closing Stock &amp; W Capital'!$D$16))*$C189*I$172</f>
        <v>0</v>
      </c>
      <c r="J189" s="270">
        <f>((H131*(1-'5.Closing Stock &amp; W Capital'!$D$16))+(G131*'5.Closing Stock &amp; W Capital'!$D$16))*$C189*J$172</f>
        <v>0</v>
      </c>
      <c r="K189" s="71"/>
      <c r="L189" s="71"/>
    </row>
    <row r="190" spans="1:12" ht="15.75" customHeight="1">
      <c r="A190" s="270" t="str">
        <f t="shared" si="92"/>
        <v>Maize</v>
      </c>
      <c r="B190" s="76" t="s">
        <v>585</v>
      </c>
      <c r="C190" s="273"/>
      <c r="D190" s="270">
        <f>(B132*(1-'5.Closing Stock &amp; W Capital'!$D$16))*$C190*D$172</f>
        <v>0</v>
      </c>
      <c r="E190" s="270">
        <f>((C132*(1-'5.Closing Stock &amp; W Capital'!$D$16))+(B132*'5.Closing Stock &amp; W Capital'!$D$16))*$C190*E$172</f>
        <v>0</v>
      </c>
      <c r="F190" s="270">
        <f>((D132*(1-'5.Closing Stock &amp; W Capital'!$D$16))+(C132*'5.Closing Stock &amp; W Capital'!$D$16))*$C190*F$172</f>
        <v>0</v>
      </c>
      <c r="G190" s="270">
        <f>((E132*(1-'5.Closing Stock &amp; W Capital'!$D$16))+(D132*'5.Closing Stock &amp; W Capital'!$D$16))*$C190*G$172</f>
        <v>0</v>
      </c>
      <c r="H190" s="270">
        <f>((F132*(1-'5.Closing Stock &amp; W Capital'!$D$16))+(E132*'5.Closing Stock &amp; W Capital'!$D$16))*$C190*H$172</f>
        <v>0</v>
      </c>
      <c r="I190" s="270">
        <f>((G132*(1-'5.Closing Stock &amp; W Capital'!$D$16))+(F132*'5.Closing Stock &amp; W Capital'!$D$16))*$C190*I$172</f>
        <v>0</v>
      </c>
      <c r="J190" s="270">
        <f>((H132*(1-'5.Closing Stock &amp; W Capital'!$D$16))+(G132*'5.Closing Stock &amp; W Capital'!$D$16))*$C190*J$172</f>
        <v>0</v>
      </c>
      <c r="K190" s="71"/>
      <c r="L190" s="71"/>
    </row>
    <row r="191" spans="1:12" ht="15.75" customHeight="1">
      <c r="A191" s="270" t="str">
        <f t="shared" si="92"/>
        <v>Safflower</v>
      </c>
      <c r="B191" s="76" t="s">
        <v>585</v>
      </c>
      <c r="C191" s="273"/>
      <c r="D191" s="270">
        <f>(B133*(1-'5.Closing Stock &amp; W Capital'!$D$16))*$C191*D$172</f>
        <v>0</v>
      </c>
      <c r="E191" s="270">
        <f>((C133*(1-'5.Closing Stock &amp; W Capital'!$D$16))+(B133*'5.Closing Stock &amp; W Capital'!$D$16))*$C191*E$172</f>
        <v>0</v>
      </c>
      <c r="F191" s="270">
        <f>((D133*(1-'5.Closing Stock &amp; W Capital'!$D$16))+(C133*'5.Closing Stock &amp; W Capital'!$D$16))*$C191*F$172</f>
        <v>0</v>
      </c>
      <c r="G191" s="270">
        <f>((E133*(1-'5.Closing Stock &amp; W Capital'!$D$16))+(D133*'5.Closing Stock &amp; W Capital'!$D$16))*$C191*G$172</f>
        <v>0</v>
      </c>
      <c r="H191" s="270">
        <f>((F133*(1-'5.Closing Stock &amp; W Capital'!$D$16))+(E133*'5.Closing Stock &amp; W Capital'!$D$16))*$C191*H$172</f>
        <v>0</v>
      </c>
      <c r="I191" s="270">
        <f>((G133*(1-'5.Closing Stock &amp; W Capital'!$D$16))+(F133*'5.Closing Stock &amp; W Capital'!$D$16))*$C191*I$172</f>
        <v>0</v>
      </c>
      <c r="J191" s="270">
        <f>((H133*(1-'5.Closing Stock &amp; W Capital'!$D$16))+(G133*'5.Closing Stock &amp; W Capital'!$D$16))*$C191*J$172</f>
        <v>0</v>
      </c>
      <c r="K191" s="71"/>
      <c r="L191" s="71"/>
    </row>
    <row r="192" spans="1:12" ht="15.75" customHeight="1">
      <c r="A192" s="270">
        <f t="shared" si="92"/>
        <v>0</v>
      </c>
      <c r="B192" s="76" t="s">
        <v>585</v>
      </c>
      <c r="C192" s="273"/>
      <c r="D192" s="270">
        <f>(B134*(1-'5.Closing Stock &amp; W Capital'!$D$16))*$C192*D$172</f>
        <v>0</v>
      </c>
      <c r="E192" s="270">
        <f>((C134*(1-'5.Closing Stock &amp; W Capital'!$D$16))+(B134*'5.Closing Stock &amp; W Capital'!$D$16))*$C192*E$172</f>
        <v>0</v>
      </c>
      <c r="F192" s="270">
        <f>((D134*(1-'5.Closing Stock &amp; W Capital'!$D$16))+(C134*'5.Closing Stock &amp; W Capital'!$D$16))*$C192*F$172</f>
        <v>0</v>
      </c>
      <c r="G192" s="270">
        <f>((E134*(1-'5.Closing Stock &amp; W Capital'!$D$16))+(D134*'5.Closing Stock &amp; W Capital'!$D$16))*$C192*G$172</f>
        <v>0</v>
      </c>
      <c r="H192" s="270">
        <f>((F134*(1-'5.Closing Stock &amp; W Capital'!$D$16))+(E134*'5.Closing Stock &amp; W Capital'!$D$16))*$C192*H$172</f>
        <v>0</v>
      </c>
      <c r="I192" s="270">
        <f>((G134*(1-'5.Closing Stock &amp; W Capital'!$D$16))+(F134*'5.Closing Stock &amp; W Capital'!$D$16))*$C192*I$172</f>
        <v>0</v>
      </c>
      <c r="J192" s="270">
        <f>((H134*(1-'5.Closing Stock &amp; W Capital'!$D$16))+(G134*'5.Closing Stock &amp; W Capital'!$D$16))*$C192*J$172</f>
        <v>0</v>
      </c>
      <c r="K192" s="71"/>
      <c r="L192" s="71"/>
    </row>
    <row r="193" spans="1:12" ht="15.75" customHeight="1">
      <c r="A193" s="270">
        <f t="shared" si="92"/>
        <v>0</v>
      </c>
      <c r="B193" s="76" t="s">
        <v>585</v>
      </c>
      <c r="C193" s="273"/>
      <c r="D193" s="270">
        <f>(B135*(1-'5.Closing Stock &amp; W Capital'!$D$16))*$C193*D$172</f>
        <v>0</v>
      </c>
      <c r="E193" s="270">
        <f>((C135*(1-'5.Closing Stock &amp; W Capital'!$D$16))+(B135*'5.Closing Stock &amp; W Capital'!$D$16))*$C193*E$172</f>
        <v>0</v>
      </c>
      <c r="F193" s="270">
        <f>((D135*(1-'5.Closing Stock &amp; W Capital'!$D$16))+(C135*'5.Closing Stock &amp; W Capital'!$D$16))*$C193*F$172</f>
        <v>0</v>
      </c>
      <c r="G193" s="270">
        <f>((E135*(1-'5.Closing Stock &amp; W Capital'!$D$16))+(D135*'5.Closing Stock &amp; W Capital'!$D$16))*$C193*G$172</f>
        <v>0</v>
      </c>
      <c r="H193" s="270">
        <f>((F135*(1-'5.Closing Stock &amp; W Capital'!$D$16))+(E135*'5.Closing Stock &amp; W Capital'!$D$16))*$C193*H$172</f>
        <v>0</v>
      </c>
      <c r="I193" s="270">
        <f>((G135*(1-'5.Closing Stock &amp; W Capital'!$D$16))+(F135*'5.Closing Stock &amp; W Capital'!$D$16))*$C193*I$172</f>
        <v>0</v>
      </c>
      <c r="J193" s="270">
        <f>((H135*(1-'5.Closing Stock &amp; W Capital'!$D$16))+(G135*'5.Closing Stock &amp; W Capital'!$D$16))*$C193*J$172</f>
        <v>0</v>
      </c>
      <c r="K193" s="71"/>
      <c r="L193" s="71"/>
    </row>
    <row r="194" spans="1:12" ht="15.75" customHeight="1">
      <c r="A194" s="270">
        <f t="shared" si="92"/>
        <v>0</v>
      </c>
      <c r="B194" s="76" t="s">
        <v>585</v>
      </c>
      <c r="C194" s="273"/>
      <c r="D194" s="270">
        <f>(B136*(1-'5.Closing Stock &amp; W Capital'!$D$16))*$C194*D$172</f>
        <v>0</v>
      </c>
      <c r="E194" s="270">
        <f>((C136*(1-'5.Closing Stock &amp; W Capital'!$D$16))+(B136*'5.Closing Stock &amp; W Capital'!$D$16))*$C194*E$172</f>
        <v>0</v>
      </c>
      <c r="F194" s="270">
        <f>((D136*(1-'5.Closing Stock &amp; W Capital'!$D$16))+(C136*'5.Closing Stock &amp; W Capital'!$D$16))*$C194*F$172</f>
        <v>0</v>
      </c>
      <c r="G194" s="270">
        <f>((E136*(1-'5.Closing Stock &amp; W Capital'!$D$16))+(D136*'5.Closing Stock &amp; W Capital'!$D$16))*$C194*G$172</f>
        <v>0</v>
      </c>
      <c r="H194" s="270">
        <f>((F136*(1-'5.Closing Stock &amp; W Capital'!$D$16))+(E136*'5.Closing Stock &amp; W Capital'!$D$16))*$C194*H$172</f>
        <v>0</v>
      </c>
      <c r="I194" s="270">
        <f>((G136*(1-'5.Closing Stock &amp; W Capital'!$D$16))+(F136*'5.Closing Stock &amp; W Capital'!$D$16))*$C194*I$172</f>
        <v>0</v>
      </c>
      <c r="J194" s="270">
        <f>((H136*(1-'5.Closing Stock &amp; W Capital'!$D$16))+(G136*'5.Closing Stock &amp; W Capital'!$D$16))*$C194*J$172</f>
        <v>0</v>
      </c>
      <c r="K194" s="71"/>
      <c r="L194" s="71"/>
    </row>
    <row r="195" spans="1:12" ht="15.75" customHeight="1">
      <c r="A195" s="270" t="str">
        <f t="shared" si="92"/>
        <v>Groundnut</v>
      </c>
      <c r="B195" s="76" t="s">
        <v>585</v>
      </c>
      <c r="C195" s="273"/>
      <c r="D195" s="270">
        <f>(B137*(1-'5.Closing Stock &amp; W Capital'!$D$16))*$C195*D$172</f>
        <v>0</v>
      </c>
      <c r="E195" s="270">
        <f>((C137*(1-'5.Closing Stock &amp; W Capital'!$D$16))+(B137*'5.Closing Stock &amp; W Capital'!$D$16))*$C195*E$172</f>
        <v>0</v>
      </c>
      <c r="F195" s="270">
        <f>((D137*(1-'5.Closing Stock &amp; W Capital'!$D$16))+(C137*'5.Closing Stock &amp; W Capital'!$D$16))*$C195*F$172</f>
        <v>0</v>
      </c>
      <c r="G195" s="270">
        <f>((E137*(1-'5.Closing Stock &amp; W Capital'!$D$16))+(D137*'5.Closing Stock &amp; W Capital'!$D$16))*$C195*G$172</f>
        <v>0</v>
      </c>
      <c r="H195" s="270">
        <f>((F137*(1-'5.Closing Stock &amp; W Capital'!$D$16))+(E137*'5.Closing Stock &amp; W Capital'!$D$16))*$C195*H$172</f>
        <v>0</v>
      </c>
      <c r="I195" s="270">
        <f>((G137*(1-'5.Closing Stock &amp; W Capital'!$D$16))+(F137*'5.Closing Stock &amp; W Capital'!$D$16))*$C195*I$172</f>
        <v>0</v>
      </c>
      <c r="J195" s="270">
        <f>((H137*(1-'5.Closing Stock &amp; W Capital'!$D$16))+(G137*'5.Closing Stock &amp; W Capital'!$D$16))*$C195*J$172</f>
        <v>0</v>
      </c>
      <c r="K195" s="71"/>
      <c r="L195" s="71"/>
    </row>
    <row r="196" spans="1:12" ht="15.75" customHeight="1">
      <c r="A196" s="270">
        <f t="shared" si="92"/>
        <v>0</v>
      </c>
      <c r="B196" s="76" t="s">
        <v>585</v>
      </c>
      <c r="C196" s="273"/>
      <c r="D196" s="270">
        <f>(B138*(1-'5.Closing Stock &amp; W Capital'!$D$16))*$C196*D$172</f>
        <v>0</v>
      </c>
      <c r="E196" s="270">
        <f>((C138*(1-'5.Closing Stock &amp; W Capital'!$D$16))+(B138*'5.Closing Stock &amp; W Capital'!$D$16))*$C196*E$172</f>
        <v>0</v>
      </c>
      <c r="F196" s="270">
        <f>((D138*(1-'5.Closing Stock &amp; W Capital'!$D$16))+(C138*'5.Closing Stock &amp; W Capital'!$D$16))*$C196*F$172</f>
        <v>0</v>
      </c>
      <c r="G196" s="270">
        <f>((E138*(1-'5.Closing Stock &amp; W Capital'!$D$16))+(D138*'5.Closing Stock &amp; W Capital'!$D$16))*$C196*G$172</f>
        <v>0</v>
      </c>
      <c r="H196" s="270">
        <f>((F138*(1-'5.Closing Stock &amp; W Capital'!$D$16))+(E138*'5.Closing Stock &amp; W Capital'!$D$16))*$C196*H$172</f>
        <v>0</v>
      </c>
      <c r="I196" s="270">
        <f>((G138*(1-'5.Closing Stock &amp; W Capital'!$D$16))+(F138*'5.Closing Stock &amp; W Capital'!$D$16))*$C196*I$172</f>
        <v>0</v>
      </c>
      <c r="J196" s="270">
        <f>((H138*(1-'5.Closing Stock &amp; W Capital'!$D$16))+(G138*'5.Closing Stock &amp; W Capital'!$D$16))*$C196*J$172</f>
        <v>0</v>
      </c>
      <c r="K196" s="71"/>
      <c r="L196" s="71"/>
    </row>
    <row r="197" spans="1:12" ht="15.75" customHeight="1">
      <c r="A197" s="270">
        <f t="shared" si="92"/>
        <v>0</v>
      </c>
      <c r="B197" s="76" t="s">
        <v>585</v>
      </c>
      <c r="C197" s="273"/>
      <c r="D197" s="270">
        <f>(B139*(1-'5.Closing Stock &amp; W Capital'!$D$16))*$C197*D$172</f>
        <v>0</v>
      </c>
      <c r="E197" s="270">
        <f>((C139*(1-'5.Closing Stock &amp; W Capital'!$D$16))+(B139*'5.Closing Stock &amp; W Capital'!$D$16))*$C197*E$172</f>
        <v>0</v>
      </c>
      <c r="F197" s="270">
        <f>((D139*(1-'5.Closing Stock &amp; W Capital'!$D$16))+(C139*'5.Closing Stock &amp; W Capital'!$D$16))*$C197*F$172</f>
        <v>0</v>
      </c>
      <c r="G197" s="270">
        <f>((E139*(1-'5.Closing Stock &amp; W Capital'!$D$16))+(D139*'5.Closing Stock &amp; W Capital'!$D$16))*$C197*G$172</f>
        <v>0</v>
      </c>
      <c r="H197" s="270">
        <f>((F139*(1-'5.Closing Stock &amp; W Capital'!$D$16))+(E139*'5.Closing Stock &amp; W Capital'!$D$16))*$C197*H$172</f>
        <v>0</v>
      </c>
      <c r="I197" s="270">
        <f>((G139*(1-'5.Closing Stock &amp; W Capital'!$D$16))+(F139*'5.Closing Stock &amp; W Capital'!$D$16))*$C197*I$172</f>
        <v>0</v>
      </c>
      <c r="J197" s="270">
        <f>((H139*(1-'5.Closing Stock &amp; W Capital'!$D$16))+(G139*'5.Closing Stock &amp; W Capital'!$D$16))*$C197*J$172</f>
        <v>0</v>
      </c>
      <c r="K197" s="71"/>
      <c r="L197" s="71"/>
    </row>
    <row r="198" spans="1:12" ht="15.75" customHeight="1">
      <c r="A198" s="270">
        <f t="shared" si="92"/>
        <v>0</v>
      </c>
      <c r="B198" s="76" t="s">
        <v>585</v>
      </c>
      <c r="C198" s="273"/>
      <c r="D198" s="270">
        <f>(B140*(1-'5.Closing Stock &amp; W Capital'!$D$16))*$C198*D$172</f>
        <v>0</v>
      </c>
      <c r="E198" s="270">
        <f>((C140*(1-'5.Closing Stock &amp; W Capital'!$D$16))+(B140*'5.Closing Stock &amp; W Capital'!$D$16))*$C198*E$172</f>
        <v>0</v>
      </c>
      <c r="F198" s="270">
        <f>((D140*(1-'5.Closing Stock &amp; W Capital'!$D$16))+(C140*'5.Closing Stock &amp; W Capital'!$D$16))*$C198*F$172</f>
        <v>0</v>
      </c>
      <c r="G198" s="270">
        <f>((E140*(1-'5.Closing Stock &amp; W Capital'!$D$16))+(D140*'5.Closing Stock &amp; W Capital'!$D$16))*$C198*G$172</f>
        <v>0</v>
      </c>
      <c r="H198" s="270">
        <f>((F140*(1-'5.Closing Stock &amp; W Capital'!$D$16))+(E140*'5.Closing Stock &amp; W Capital'!$D$16))*$C198*H$172</f>
        <v>0</v>
      </c>
      <c r="I198" s="270">
        <f>((G140*(1-'5.Closing Stock &amp; W Capital'!$D$16))+(F140*'5.Closing Stock &amp; W Capital'!$D$16))*$C198*I$172</f>
        <v>0</v>
      </c>
      <c r="J198" s="270">
        <f>((H140*(1-'5.Closing Stock &amp; W Capital'!$D$16))+(G140*'5.Closing Stock &amp; W Capital'!$D$16))*$C198*J$172</f>
        <v>0</v>
      </c>
      <c r="K198" s="71"/>
      <c r="L198" s="71"/>
    </row>
    <row r="199" spans="1:12" ht="15.75" customHeight="1">
      <c r="A199" s="76"/>
      <c r="B199" s="76" t="s">
        <v>585</v>
      </c>
      <c r="C199" s="273"/>
      <c r="D199" s="270">
        <f>(B141*(1-'5.Closing Stock &amp; W Capital'!$D$16))*$C199*D$172</f>
        <v>0</v>
      </c>
      <c r="E199" s="270">
        <f>((C141*(1-'5.Closing Stock &amp; W Capital'!$D$16))+(B141*'5.Closing Stock &amp; W Capital'!$D$16))*$C199*E$172</f>
        <v>0</v>
      </c>
      <c r="F199" s="270">
        <f>((D141*(1-'5.Closing Stock &amp; W Capital'!$D$16))+(C141*'5.Closing Stock &amp; W Capital'!$D$16))*$C199*F$172</f>
        <v>0</v>
      </c>
      <c r="G199" s="270">
        <f>((E141*(1-'5.Closing Stock &amp; W Capital'!$D$16))+(D141*'5.Closing Stock &amp; W Capital'!$D$16))*$C199*G$172</f>
        <v>0</v>
      </c>
      <c r="H199" s="270">
        <f>((F141*(1-'5.Closing Stock &amp; W Capital'!$D$16))+(E141*'5.Closing Stock &amp; W Capital'!$D$16))*$C199*H$172</f>
        <v>0</v>
      </c>
      <c r="I199" s="270">
        <f>((G141*(1-'5.Closing Stock &amp; W Capital'!$D$16))+(F141*'5.Closing Stock &amp; W Capital'!$D$16))*$C199*I$172</f>
        <v>0</v>
      </c>
      <c r="J199" s="270">
        <f>((H141*(1-'5.Closing Stock &amp; W Capital'!$D$16))+(G141*'5.Closing Stock &amp; W Capital'!$D$16))*$C199*J$172</f>
        <v>0</v>
      </c>
      <c r="K199" s="71"/>
      <c r="L199" s="71"/>
    </row>
    <row r="200" spans="1:12" ht="15.75" customHeight="1">
      <c r="A200" s="79" t="s">
        <v>586</v>
      </c>
      <c r="B200" s="76" t="s">
        <v>585</v>
      </c>
      <c r="C200" s="55">
        <v>0</v>
      </c>
      <c r="D200" s="270">
        <f t="shared" ref="D200:J200" si="93">B65*$C$200*D172</f>
        <v>0</v>
      </c>
      <c r="E200" s="270">
        <f t="shared" si="93"/>
        <v>0</v>
      </c>
      <c r="F200" s="270">
        <f t="shared" si="93"/>
        <v>0</v>
      </c>
      <c r="G200" s="270">
        <f t="shared" si="93"/>
        <v>0</v>
      </c>
      <c r="H200" s="270">
        <f t="shared" si="93"/>
        <v>0</v>
      </c>
      <c r="I200" s="270">
        <f t="shared" si="93"/>
        <v>0</v>
      </c>
      <c r="J200" s="270">
        <f t="shared" si="93"/>
        <v>0</v>
      </c>
      <c r="K200" s="71"/>
      <c r="L200" s="71"/>
    </row>
    <row r="201" spans="1:12" ht="15.75" customHeight="1">
      <c r="A201" s="79"/>
      <c r="B201" s="79"/>
      <c r="C201" s="79"/>
      <c r="D201" s="76"/>
      <c r="E201" s="76"/>
      <c r="F201" s="76"/>
      <c r="G201" s="76"/>
      <c r="H201" s="76"/>
      <c r="I201" s="76"/>
      <c r="J201" s="76"/>
      <c r="K201" s="71"/>
      <c r="L201" s="71"/>
    </row>
    <row r="202" spans="1:12" ht="15.75" customHeight="1">
      <c r="A202" s="266" t="str">
        <f t="shared" ref="A202:A227" si="94">A143</f>
        <v>Fruit  &amp; Vegetables Crop Production Details</v>
      </c>
      <c r="B202" s="79"/>
      <c r="C202" s="79"/>
      <c r="D202" s="76"/>
      <c r="E202" s="76"/>
      <c r="F202" s="76"/>
      <c r="G202" s="76"/>
      <c r="H202" s="76"/>
      <c r="I202" s="76"/>
      <c r="J202" s="76"/>
      <c r="K202" s="71"/>
      <c r="L202" s="71"/>
    </row>
    <row r="203" spans="1:12" ht="15.75" customHeight="1">
      <c r="A203" s="266" t="str">
        <f t="shared" si="94"/>
        <v>Onion</v>
      </c>
      <c r="B203" s="76" t="s">
        <v>585</v>
      </c>
      <c r="C203" s="274">
        <v>2000</v>
      </c>
      <c r="D203" s="270">
        <f>(B144*(1-'5.Closing Stock &amp; W Capital'!$D$16))*$C203*D$172</f>
        <v>0</v>
      </c>
      <c r="E203" s="270">
        <f>((C144*(1-'5.Closing Stock &amp; W Capital'!$D$16))+(B144*'5.Closing Stock &amp; W Capital'!$D$16))*$C203*E$172</f>
        <v>0</v>
      </c>
      <c r="F203" s="270">
        <f>((D144*(1-'5.Closing Stock &amp; W Capital'!$D$16))+(C144*'5.Closing Stock &amp; W Capital'!$D$16))*$C203*F$172</f>
        <v>0</v>
      </c>
      <c r="G203" s="270">
        <f>((E144*(1-'5.Closing Stock &amp; W Capital'!$D$16))+(D144*'5.Closing Stock &amp; W Capital'!$D$16))*$C203*G$172</f>
        <v>0</v>
      </c>
      <c r="H203" s="270">
        <f>((F144*(1-'5.Closing Stock &amp; W Capital'!$D$16))+(E144*'5.Closing Stock &amp; W Capital'!$D$16))*$C203*H$172</f>
        <v>0</v>
      </c>
      <c r="I203" s="270">
        <f>((G144*(1-'5.Closing Stock &amp; W Capital'!$D$16))+(F144*'5.Closing Stock &amp; W Capital'!$D$16))*$C203*I$172</f>
        <v>0</v>
      </c>
      <c r="J203" s="270">
        <f>((H144*(1-'5.Closing Stock &amp; W Capital'!$D$16))+(G144*'5.Closing Stock &amp; W Capital'!$D$16))*$C203*J$172</f>
        <v>0</v>
      </c>
      <c r="K203" s="71"/>
      <c r="L203" s="71"/>
    </row>
    <row r="204" spans="1:12" ht="15.75" customHeight="1">
      <c r="A204" s="266" t="str">
        <f t="shared" si="94"/>
        <v>Tomato</v>
      </c>
      <c r="B204" s="76" t="s">
        <v>585</v>
      </c>
      <c r="C204" s="273">
        <v>1000</v>
      </c>
      <c r="D204" s="270">
        <f>(B145*(1-'5.Closing Stock &amp; W Capital'!$D$16))*$C204*D$172</f>
        <v>0</v>
      </c>
      <c r="E204" s="270">
        <f>((C145*(1-'5.Closing Stock &amp; W Capital'!$D$16))+(B145*'5.Closing Stock &amp; W Capital'!$D$16))*$C204*E$172</f>
        <v>0</v>
      </c>
      <c r="F204" s="270">
        <f>((D145*(1-'5.Closing Stock &amp; W Capital'!$D$16))+(C145*'5.Closing Stock &amp; W Capital'!$D$16))*$C204*F$172</f>
        <v>0</v>
      </c>
      <c r="G204" s="270">
        <f>((E145*(1-'5.Closing Stock &amp; W Capital'!$D$16))+(D145*'5.Closing Stock &amp; W Capital'!$D$16))*$C204*G$172</f>
        <v>0</v>
      </c>
      <c r="H204" s="270">
        <f>((F145*(1-'5.Closing Stock &amp; W Capital'!$D$16))+(E145*'5.Closing Stock &amp; W Capital'!$D$16))*$C204*H$172</f>
        <v>0</v>
      </c>
      <c r="I204" s="270">
        <f>((G145*(1-'5.Closing Stock &amp; W Capital'!$D$16))+(F145*'5.Closing Stock &amp; W Capital'!$D$16))*$C204*I$172</f>
        <v>0</v>
      </c>
      <c r="J204" s="270">
        <f>((H145*(1-'5.Closing Stock &amp; W Capital'!$D$16))+(G145*'5.Closing Stock &amp; W Capital'!$D$16))*$C204*J$172</f>
        <v>0</v>
      </c>
      <c r="K204" s="71"/>
      <c r="L204" s="71"/>
    </row>
    <row r="205" spans="1:12" ht="15.75" customHeight="1">
      <c r="A205" s="266" t="str">
        <f t="shared" si="94"/>
        <v>Okra</v>
      </c>
      <c r="B205" s="76" t="s">
        <v>585</v>
      </c>
      <c r="C205" s="273">
        <v>1500</v>
      </c>
      <c r="D205" s="270">
        <f>(B146*(1-'5.Closing Stock &amp; W Capital'!$D$16))*$C205*D$172</f>
        <v>0</v>
      </c>
      <c r="E205" s="270">
        <f>((C146*(1-'5.Closing Stock &amp; W Capital'!$D$16))+(B146*'5.Closing Stock &amp; W Capital'!$D$16))*$C205*E$172</f>
        <v>0</v>
      </c>
      <c r="F205" s="270">
        <f>((D146*(1-'5.Closing Stock &amp; W Capital'!$D$16))+(C146*'5.Closing Stock &amp; W Capital'!$D$16))*$C205*F$172</f>
        <v>0</v>
      </c>
      <c r="G205" s="270">
        <f>((E146*(1-'5.Closing Stock &amp; W Capital'!$D$16))+(D146*'5.Closing Stock &amp; W Capital'!$D$16))*$C205*G$172</f>
        <v>0</v>
      </c>
      <c r="H205" s="270">
        <f>((F146*(1-'5.Closing Stock &amp; W Capital'!$D$16))+(E146*'5.Closing Stock &amp; W Capital'!$D$16))*$C205*H$172</f>
        <v>0</v>
      </c>
      <c r="I205" s="270">
        <f>((G146*(1-'5.Closing Stock &amp; W Capital'!$D$16))+(F146*'5.Closing Stock &amp; W Capital'!$D$16))*$C205*I$172</f>
        <v>0</v>
      </c>
      <c r="J205" s="270">
        <f>((H146*(1-'5.Closing Stock &amp; W Capital'!$D$16))+(G146*'5.Closing Stock &amp; W Capital'!$D$16))*$C205*J$172</f>
        <v>0</v>
      </c>
      <c r="K205" s="71"/>
      <c r="L205" s="71"/>
    </row>
    <row r="206" spans="1:12" ht="15.75" customHeight="1">
      <c r="A206" s="266" t="str">
        <f t="shared" si="94"/>
        <v>Chilli</v>
      </c>
      <c r="B206" s="76" t="s">
        <v>585</v>
      </c>
      <c r="C206" s="273">
        <v>3000</v>
      </c>
      <c r="D206" s="270">
        <f>(B147*(1-'5.Closing Stock &amp; W Capital'!$D$16))*$C206*D$172</f>
        <v>0</v>
      </c>
      <c r="E206" s="270">
        <f>((C147*(1-'5.Closing Stock &amp; W Capital'!$D$16))+(B147*'5.Closing Stock &amp; W Capital'!$D$16))*$C206*E$172</f>
        <v>0</v>
      </c>
      <c r="F206" s="270">
        <f>((D147*(1-'5.Closing Stock &amp; W Capital'!$D$16))+(C147*'5.Closing Stock &amp; W Capital'!$D$16))*$C206*F$172</f>
        <v>0</v>
      </c>
      <c r="G206" s="270">
        <f>((E147*(1-'5.Closing Stock &amp; W Capital'!$D$16))+(D147*'5.Closing Stock &amp; W Capital'!$D$16))*$C206*G$172</f>
        <v>0</v>
      </c>
      <c r="H206" s="270">
        <f>((F147*(1-'5.Closing Stock &amp; W Capital'!$D$16))+(E147*'5.Closing Stock &amp; W Capital'!$D$16))*$C206*H$172</f>
        <v>0</v>
      </c>
      <c r="I206" s="270">
        <f>((G147*(1-'5.Closing Stock &amp; W Capital'!$D$16))+(F147*'5.Closing Stock &amp; W Capital'!$D$16))*$C206*I$172</f>
        <v>0</v>
      </c>
      <c r="J206" s="270">
        <f>((H147*(1-'5.Closing Stock &amp; W Capital'!$D$16))+(G147*'5.Closing Stock &amp; W Capital'!$D$16))*$C206*J$172</f>
        <v>0</v>
      </c>
      <c r="K206" s="71"/>
      <c r="L206" s="71"/>
    </row>
    <row r="207" spans="1:12" ht="15.75" customHeight="1">
      <c r="A207" s="266" t="str">
        <f t="shared" si="94"/>
        <v>Potato</v>
      </c>
      <c r="B207" s="76" t="s">
        <v>585</v>
      </c>
      <c r="C207" s="273">
        <v>1500</v>
      </c>
      <c r="D207" s="270">
        <f>(B148*(1-'5.Closing Stock &amp; W Capital'!$D$16))*$C207*D$172</f>
        <v>0</v>
      </c>
      <c r="E207" s="270">
        <f>((C148*(1-'5.Closing Stock &amp; W Capital'!$D$16))+(B148*'5.Closing Stock &amp; W Capital'!$D$16))*$C207*E$172</f>
        <v>0</v>
      </c>
      <c r="F207" s="270">
        <f>((D148*(1-'5.Closing Stock &amp; W Capital'!$D$16))+(C148*'5.Closing Stock &amp; W Capital'!$D$16))*$C207*F$172</f>
        <v>0</v>
      </c>
      <c r="G207" s="270">
        <f>((E148*(1-'5.Closing Stock &amp; W Capital'!$D$16))+(D148*'5.Closing Stock &amp; W Capital'!$D$16))*$C207*G$172</f>
        <v>0</v>
      </c>
      <c r="H207" s="270">
        <f>((F148*(1-'5.Closing Stock &amp; W Capital'!$D$16))+(E148*'5.Closing Stock &amp; W Capital'!$D$16))*$C207*H$172</f>
        <v>0</v>
      </c>
      <c r="I207" s="270">
        <f>((G148*(1-'5.Closing Stock &amp; W Capital'!$D$16))+(F148*'5.Closing Stock &amp; W Capital'!$D$16))*$C207*I$172</f>
        <v>0</v>
      </c>
      <c r="J207" s="270">
        <f>((H148*(1-'5.Closing Stock &amp; W Capital'!$D$16))+(G148*'5.Closing Stock &amp; W Capital'!$D$16))*$C207*J$172</f>
        <v>0</v>
      </c>
      <c r="K207" s="71"/>
      <c r="L207" s="71"/>
    </row>
    <row r="208" spans="1:12" ht="15.75" customHeight="1">
      <c r="A208" s="266">
        <f t="shared" si="94"/>
        <v>0</v>
      </c>
      <c r="B208" s="76" t="s">
        <v>585</v>
      </c>
      <c r="C208" s="55"/>
      <c r="D208" s="270">
        <f>(B149*(1-'5.Closing Stock &amp; W Capital'!$D$16))*$C208*D$172</f>
        <v>0</v>
      </c>
      <c r="E208" s="270">
        <f>((C149*(1-'5.Closing Stock &amp; W Capital'!$D$16))+(B149*'5.Closing Stock &amp; W Capital'!$D$16))*$C208*E$172</f>
        <v>0</v>
      </c>
      <c r="F208" s="270">
        <f>((D149*(1-'5.Closing Stock &amp; W Capital'!$D$16))+(C149*'5.Closing Stock &amp; W Capital'!$D$16))*$C208*F$172</f>
        <v>0</v>
      </c>
      <c r="G208" s="270">
        <f>((E149*(1-'5.Closing Stock &amp; W Capital'!$D$16))+(D149*'5.Closing Stock &amp; W Capital'!$D$16))*$C208*G$172</f>
        <v>0</v>
      </c>
      <c r="H208" s="270">
        <f>((F149*(1-'5.Closing Stock &amp; W Capital'!$D$16))+(E149*'5.Closing Stock &amp; W Capital'!$D$16))*$C208*H$172</f>
        <v>0</v>
      </c>
      <c r="I208" s="270">
        <f>((G149*(1-'5.Closing Stock &amp; W Capital'!$D$16))+(F149*'5.Closing Stock &amp; W Capital'!$D$16))*$C208*I$172</f>
        <v>0</v>
      </c>
      <c r="J208" s="270">
        <f>((H149*(1-'5.Closing Stock &amp; W Capital'!$D$16))+(G149*'5.Closing Stock &amp; W Capital'!$D$16))*$C208*J$172</f>
        <v>0</v>
      </c>
      <c r="K208" s="71"/>
      <c r="L208" s="71"/>
    </row>
    <row r="209" spans="1:12" ht="15.75" customHeight="1">
      <c r="A209" s="266">
        <f t="shared" si="94"/>
        <v>0</v>
      </c>
      <c r="B209" s="76" t="s">
        <v>585</v>
      </c>
      <c r="C209" s="55"/>
      <c r="D209" s="270">
        <f>(B150*(1-'5.Closing Stock &amp; W Capital'!$D$16))*$C209*D$172</f>
        <v>0</v>
      </c>
      <c r="E209" s="270">
        <f>((C150*(1-'5.Closing Stock &amp; W Capital'!$D$16))+(B150*'5.Closing Stock &amp; W Capital'!$D$16))*$C209*E$172</f>
        <v>0</v>
      </c>
      <c r="F209" s="270">
        <f>((D150*(1-'5.Closing Stock &amp; W Capital'!$D$16))+(C150*'5.Closing Stock &amp; W Capital'!$D$16))*$C209*F$172</f>
        <v>0</v>
      </c>
      <c r="G209" s="270">
        <f>((E150*(1-'5.Closing Stock &amp; W Capital'!$D$16))+(D150*'5.Closing Stock &amp; W Capital'!$D$16))*$C209*G$172</f>
        <v>0</v>
      </c>
      <c r="H209" s="270">
        <f>((F150*(1-'5.Closing Stock &amp; W Capital'!$D$16))+(E150*'5.Closing Stock &amp; W Capital'!$D$16))*$C209*H$172</f>
        <v>0</v>
      </c>
      <c r="I209" s="270">
        <f>((G150*(1-'5.Closing Stock &amp; W Capital'!$D$16))+(F150*'5.Closing Stock &amp; W Capital'!$D$16))*$C209*I$172</f>
        <v>0</v>
      </c>
      <c r="J209" s="270">
        <f>((H150*(1-'5.Closing Stock &amp; W Capital'!$D$16))+(G150*'5.Closing Stock &amp; W Capital'!$D$16))*$C209*J$172</f>
        <v>0</v>
      </c>
      <c r="K209" s="71"/>
      <c r="L209" s="71"/>
    </row>
    <row r="210" spans="1:12" ht="15.75" customHeight="1">
      <c r="A210" s="266">
        <f t="shared" si="94"/>
        <v>0</v>
      </c>
      <c r="B210" s="76" t="s">
        <v>585</v>
      </c>
      <c r="C210" s="55"/>
      <c r="D210" s="270">
        <f>(B151*(1-'5.Closing Stock &amp; W Capital'!$D$16))*$C210*D$172</f>
        <v>0</v>
      </c>
      <c r="E210" s="270">
        <f>((C151*(1-'5.Closing Stock &amp; W Capital'!$D$16))+(B151*'5.Closing Stock &amp; W Capital'!$D$16))*$C210*E$172</f>
        <v>0</v>
      </c>
      <c r="F210" s="270">
        <f>((D151*(1-'5.Closing Stock &amp; W Capital'!$D$16))+(C151*'5.Closing Stock &amp; W Capital'!$D$16))*$C210*F$172</f>
        <v>0</v>
      </c>
      <c r="G210" s="270">
        <f>((E151*(1-'5.Closing Stock &amp; W Capital'!$D$16))+(D151*'5.Closing Stock &amp; W Capital'!$D$16))*$C210*G$172</f>
        <v>0</v>
      </c>
      <c r="H210" s="270">
        <f>((F151*(1-'5.Closing Stock &amp; W Capital'!$D$16))+(E151*'5.Closing Stock &amp; W Capital'!$D$16))*$C210*H$172</f>
        <v>0</v>
      </c>
      <c r="I210" s="270">
        <f>((G151*(1-'5.Closing Stock &amp; W Capital'!$D$16))+(F151*'5.Closing Stock &amp; W Capital'!$D$16))*$C210*I$172</f>
        <v>0</v>
      </c>
      <c r="J210" s="270">
        <f>((H151*(1-'5.Closing Stock &amp; W Capital'!$D$16))+(G151*'5.Closing Stock &amp; W Capital'!$D$16))*$C210*J$172</f>
        <v>0</v>
      </c>
      <c r="K210" s="71"/>
      <c r="L210" s="71"/>
    </row>
    <row r="211" spans="1:12" ht="15.75" customHeight="1">
      <c r="A211" s="266">
        <f t="shared" si="94"/>
        <v>0</v>
      </c>
      <c r="B211" s="76" t="s">
        <v>585</v>
      </c>
      <c r="C211" s="55"/>
      <c r="D211" s="270">
        <f>(B152*(1-'5.Closing Stock &amp; W Capital'!$D$16))*$C211*D$172</f>
        <v>0</v>
      </c>
      <c r="E211" s="270">
        <f>((C152*(1-'5.Closing Stock &amp; W Capital'!$D$16))+(B152*'5.Closing Stock &amp; W Capital'!$D$16))*$C211*E$172</f>
        <v>0</v>
      </c>
      <c r="F211" s="270">
        <f>((D152*(1-'5.Closing Stock &amp; W Capital'!$D$16))+(C152*'5.Closing Stock &amp; W Capital'!$D$16))*$C211*F$172</f>
        <v>0</v>
      </c>
      <c r="G211" s="270">
        <f>((E152*(1-'5.Closing Stock &amp; W Capital'!$D$16))+(D152*'5.Closing Stock &amp; W Capital'!$D$16))*$C211*G$172</f>
        <v>0</v>
      </c>
      <c r="H211" s="270">
        <f>((F152*(1-'5.Closing Stock &amp; W Capital'!$D$16))+(E152*'5.Closing Stock &amp; W Capital'!$D$16))*$C211*H$172</f>
        <v>0</v>
      </c>
      <c r="I211" s="270">
        <f>((G152*(1-'5.Closing Stock &amp; W Capital'!$D$16))+(F152*'5.Closing Stock &amp; W Capital'!$D$16))*$C211*I$172</f>
        <v>0</v>
      </c>
      <c r="J211" s="270">
        <f>((H152*(1-'5.Closing Stock &amp; W Capital'!$D$16))+(G152*'5.Closing Stock &amp; W Capital'!$D$16))*$C211*J$172</f>
        <v>0</v>
      </c>
      <c r="K211" s="71"/>
      <c r="L211" s="71"/>
    </row>
    <row r="212" spans="1:12" ht="15.75" customHeight="1">
      <c r="A212" s="266" t="str">
        <f t="shared" si="94"/>
        <v>Onion</v>
      </c>
      <c r="B212" s="76" t="s">
        <v>585</v>
      </c>
      <c r="C212" s="273">
        <v>2000</v>
      </c>
      <c r="D212" s="270">
        <f>(B153*(1-'5.Closing Stock &amp; W Capital'!$D$16))*$C212*D$172</f>
        <v>0</v>
      </c>
      <c r="E212" s="270">
        <f>((C153*(1-'5.Closing Stock &amp; W Capital'!$D$16))+(B153*'5.Closing Stock &amp; W Capital'!$D$16))*$C212*E$172</f>
        <v>0</v>
      </c>
      <c r="F212" s="270">
        <f>((D153*(1-'5.Closing Stock &amp; W Capital'!$D$16))+(C153*'5.Closing Stock &amp; W Capital'!$D$16))*$C212*F$172</f>
        <v>0</v>
      </c>
      <c r="G212" s="270">
        <f>((E153*(1-'5.Closing Stock &amp; W Capital'!$D$16))+(D153*'5.Closing Stock &amp; W Capital'!$D$16))*$C212*G$172</f>
        <v>0</v>
      </c>
      <c r="H212" s="270">
        <f>((F153*(1-'5.Closing Stock &amp; W Capital'!$D$16))+(E153*'5.Closing Stock &amp; W Capital'!$D$16))*$C212*H$172</f>
        <v>0</v>
      </c>
      <c r="I212" s="270">
        <f>((G153*(1-'5.Closing Stock &amp; W Capital'!$D$16))+(F153*'5.Closing Stock &amp; W Capital'!$D$16))*$C212*I$172</f>
        <v>0</v>
      </c>
      <c r="J212" s="270">
        <f>((H153*(1-'5.Closing Stock &amp; W Capital'!$D$16))+(G153*'5.Closing Stock &amp; W Capital'!$D$16))*$C212*J$172</f>
        <v>0</v>
      </c>
      <c r="K212" s="71"/>
      <c r="L212" s="71"/>
    </row>
    <row r="213" spans="1:12" ht="15.75" customHeight="1">
      <c r="A213" s="266" t="str">
        <f t="shared" si="94"/>
        <v>Tomato</v>
      </c>
      <c r="B213" s="76" t="s">
        <v>585</v>
      </c>
      <c r="C213" s="273">
        <v>1000</v>
      </c>
      <c r="D213" s="270">
        <f>(B154*(1-'5.Closing Stock &amp; W Capital'!$D$16))*$C213*D$172</f>
        <v>0</v>
      </c>
      <c r="E213" s="270">
        <f>((C154*(1-'5.Closing Stock &amp; W Capital'!$D$16))+(B154*'5.Closing Stock &amp; W Capital'!$D$16))*$C213*E$172</f>
        <v>0</v>
      </c>
      <c r="F213" s="270">
        <f>((D154*(1-'5.Closing Stock &amp; W Capital'!$D$16))+(C154*'5.Closing Stock &amp; W Capital'!$D$16))*$C213*F$172</f>
        <v>0</v>
      </c>
      <c r="G213" s="270">
        <f>((E154*(1-'5.Closing Stock &amp; W Capital'!$D$16))+(D154*'5.Closing Stock &amp; W Capital'!$D$16))*$C213*G$172</f>
        <v>0</v>
      </c>
      <c r="H213" s="270">
        <f>((F154*(1-'5.Closing Stock &amp; W Capital'!$D$16))+(E154*'5.Closing Stock &amp; W Capital'!$D$16))*$C213*H$172</f>
        <v>0</v>
      </c>
      <c r="I213" s="270">
        <f>((G154*(1-'5.Closing Stock &amp; W Capital'!$D$16))+(F154*'5.Closing Stock &amp; W Capital'!$D$16))*$C213*I$172</f>
        <v>0</v>
      </c>
      <c r="J213" s="270">
        <f>((H154*(1-'5.Closing Stock &amp; W Capital'!$D$16))+(G154*'5.Closing Stock &amp; W Capital'!$D$16))*$C213*J$172</f>
        <v>0</v>
      </c>
      <c r="K213" s="71"/>
      <c r="L213" s="71"/>
    </row>
    <row r="214" spans="1:12" ht="15.75" customHeight="1">
      <c r="A214" s="266" t="str">
        <f t="shared" si="94"/>
        <v>Okra</v>
      </c>
      <c r="B214" s="76" t="s">
        <v>585</v>
      </c>
      <c r="C214" s="273">
        <v>1500</v>
      </c>
      <c r="D214" s="270">
        <f>(B155*(1-'5.Closing Stock &amp; W Capital'!$D$16))*$C214*D$172</f>
        <v>0</v>
      </c>
      <c r="E214" s="270">
        <f>((C155*(1-'5.Closing Stock &amp; W Capital'!$D$16))+(B155*'5.Closing Stock &amp; W Capital'!$D$16))*$C214*E$172</f>
        <v>0</v>
      </c>
      <c r="F214" s="270">
        <f>((D155*(1-'5.Closing Stock &amp; W Capital'!$D$16))+(C155*'5.Closing Stock &amp; W Capital'!$D$16))*$C214*F$172</f>
        <v>0</v>
      </c>
      <c r="G214" s="270">
        <f>((E155*(1-'5.Closing Stock &amp; W Capital'!$D$16))+(D155*'5.Closing Stock &amp; W Capital'!$D$16))*$C214*G$172</f>
        <v>0</v>
      </c>
      <c r="H214" s="270">
        <f>((F155*(1-'5.Closing Stock &amp; W Capital'!$D$16))+(E155*'5.Closing Stock &amp; W Capital'!$D$16))*$C214*H$172</f>
        <v>0</v>
      </c>
      <c r="I214" s="270">
        <f>((G155*(1-'5.Closing Stock &amp; W Capital'!$D$16))+(F155*'5.Closing Stock &amp; W Capital'!$D$16))*$C214*I$172</f>
        <v>0</v>
      </c>
      <c r="J214" s="270">
        <f>((H155*(1-'5.Closing Stock &amp; W Capital'!$D$16))+(G155*'5.Closing Stock &amp; W Capital'!$D$16))*$C214*J$172</f>
        <v>0</v>
      </c>
      <c r="K214" s="71"/>
      <c r="L214" s="71"/>
    </row>
    <row r="215" spans="1:12" ht="15.75" customHeight="1">
      <c r="A215" s="266" t="str">
        <f t="shared" si="94"/>
        <v>Chilli</v>
      </c>
      <c r="B215" s="76" t="s">
        <v>585</v>
      </c>
      <c r="C215" s="273">
        <v>3000</v>
      </c>
      <c r="D215" s="270">
        <f>(B156*(1-'5.Closing Stock &amp; W Capital'!$D$16))*$C215*D$172</f>
        <v>0</v>
      </c>
      <c r="E215" s="270">
        <f>((C156*(1-'5.Closing Stock &amp; W Capital'!$D$16))+(B156*'5.Closing Stock &amp; W Capital'!$D$16))*$C215*E$172</f>
        <v>0</v>
      </c>
      <c r="F215" s="270">
        <f>((D156*(1-'5.Closing Stock &amp; W Capital'!$D$16))+(C156*'5.Closing Stock &amp; W Capital'!$D$16))*$C215*F$172</f>
        <v>0</v>
      </c>
      <c r="G215" s="270">
        <f>((E156*(1-'5.Closing Stock &amp; W Capital'!$D$16))+(D156*'5.Closing Stock &amp; W Capital'!$D$16))*$C215*G$172</f>
        <v>0</v>
      </c>
      <c r="H215" s="270">
        <f>((F156*(1-'5.Closing Stock &amp; W Capital'!$D$16))+(E156*'5.Closing Stock &amp; W Capital'!$D$16))*$C215*H$172</f>
        <v>0</v>
      </c>
      <c r="I215" s="270">
        <f>((G156*(1-'5.Closing Stock &amp; W Capital'!$D$16))+(F156*'5.Closing Stock &amp; W Capital'!$D$16))*$C215*I$172</f>
        <v>0</v>
      </c>
      <c r="J215" s="270">
        <f>((H156*(1-'5.Closing Stock &amp; W Capital'!$D$16))+(G156*'5.Closing Stock &amp; W Capital'!$D$16))*$C215*J$172</f>
        <v>0</v>
      </c>
      <c r="K215" s="71"/>
      <c r="L215" s="71"/>
    </row>
    <row r="216" spans="1:12" ht="15.75" customHeight="1">
      <c r="A216" s="266" t="str">
        <f t="shared" si="94"/>
        <v>Brinjal</v>
      </c>
      <c r="B216" s="76" t="s">
        <v>585</v>
      </c>
      <c r="C216" s="273">
        <v>2000</v>
      </c>
      <c r="D216" s="270">
        <f>(B157*(1-'5.Closing Stock &amp; W Capital'!$D$16))*$C216*D$172</f>
        <v>0</v>
      </c>
      <c r="E216" s="270">
        <f>((C157*(1-'5.Closing Stock &amp; W Capital'!$D$16))+(B157*'5.Closing Stock &amp; W Capital'!$D$16))*$C216*E$172</f>
        <v>0</v>
      </c>
      <c r="F216" s="270">
        <f>((D157*(1-'5.Closing Stock &amp; W Capital'!$D$16))+(C157*'5.Closing Stock &amp; W Capital'!$D$16))*$C216*F$172</f>
        <v>0</v>
      </c>
      <c r="G216" s="270">
        <f>((E157*(1-'5.Closing Stock &amp; W Capital'!$D$16))+(D157*'5.Closing Stock &amp; W Capital'!$D$16))*$C216*G$172</f>
        <v>0</v>
      </c>
      <c r="H216" s="270">
        <f>((F157*(1-'5.Closing Stock &amp; W Capital'!$D$16))+(E157*'5.Closing Stock &amp; W Capital'!$D$16))*$C216*H$172</f>
        <v>0</v>
      </c>
      <c r="I216" s="270">
        <f>((G157*(1-'5.Closing Stock &amp; W Capital'!$D$16))+(F157*'5.Closing Stock &amp; W Capital'!$D$16))*$C216*I$172</f>
        <v>0</v>
      </c>
      <c r="J216" s="270">
        <f>((H157*(1-'5.Closing Stock &amp; W Capital'!$D$16))+(G157*'5.Closing Stock &amp; W Capital'!$D$16))*$C216*J$172</f>
        <v>0</v>
      </c>
      <c r="K216" s="71"/>
      <c r="L216" s="71"/>
    </row>
    <row r="217" spans="1:12" ht="15.75" customHeight="1">
      <c r="A217" s="266">
        <f t="shared" si="94"/>
        <v>0</v>
      </c>
      <c r="B217" s="76" t="s">
        <v>585</v>
      </c>
      <c r="C217" s="273"/>
      <c r="D217" s="270">
        <f>(B158*(1-'5.Closing Stock &amp; W Capital'!$D$16))*$C217*D$172</f>
        <v>0</v>
      </c>
      <c r="E217" s="270">
        <f>((C158*(1-'5.Closing Stock &amp; W Capital'!$D$16))+(B158*'5.Closing Stock &amp; W Capital'!$D$16))*$C217*E$172</f>
        <v>0</v>
      </c>
      <c r="F217" s="270">
        <f>((D158*(1-'5.Closing Stock &amp; W Capital'!$D$16))+(C158*'5.Closing Stock &amp; W Capital'!$D$16))*$C217*F$172</f>
        <v>0</v>
      </c>
      <c r="G217" s="270">
        <f>((E158*(1-'5.Closing Stock &amp; W Capital'!$D$16))+(D158*'5.Closing Stock &amp; W Capital'!$D$16))*$C217*G$172</f>
        <v>0</v>
      </c>
      <c r="H217" s="270">
        <f>((F158*(1-'5.Closing Stock &amp; W Capital'!$D$16))+(E158*'5.Closing Stock &amp; W Capital'!$D$16))*$C217*H$172</f>
        <v>0</v>
      </c>
      <c r="I217" s="270">
        <f>((G158*(1-'5.Closing Stock &amp; W Capital'!$D$16))+(F158*'5.Closing Stock &amp; W Capital'!$D$16))*$C217*I$172</f>
        <v>0</v>
      </c>
      <c r="J217" s="270">
        <f>((H158*(1-'5.Closing Stock &amp; W Capital'!$D$16))+(G158*'5.Closing Stock &amp; W Capital'!$D$16))*$C217*J$172</f>
        <v>0</v>
      </c>
      <c r="K217" s="71"/>
      <c r="L217" s="71"/>
    </row>
    <row r="218" spans="1:12" ht="15.75" customHeight="1">
      <c r="A218" s="266">
        <f t="shared" si="94"/>
        <v>0</v>
      </c>
      <c r="B218" s="76" t="s">
        <v>585</v>
      </c>
      <c r="C218" s="273"/>
      <c r="D218" s="270">
        <f>(B159*(1-'5.Closing Stock &amp; W Capital'!$D$16))*$C218*D$172</f>
        <v>0</v>
      </c>
      <c r="E218" s="270">
        <f>((C159*(1-'5.Closing Stock &amp; W Capital'!$D$16))+(B159*'5.Closing Stock &amp; W Capital'!$D$16))*$C218*E$172</f>
        <v>0</v>
      </c>
      <c r="F218" s="270">
        <f>((D159*(1-'5.Closing Stock &amp; W Capital'!$D$16))+(C159*'5.Closing Stock &amp; W Capital'!$D$16))*$C218*F$172</f>
        <v>0</v>
      </c>
      <c r="G218" s="270">
        <f>((E159*(1-'5.Closing Stock &amp; W Capital'!$D$16))+(D159*'5.Closing Stock &amp; W Capital'!$D$16))*$C218*G$172</f>
        <v>0</v>
      </c>
      <c r="H218" s="270">
        <f>((F159*(1-'5.Closing Stock &amp; W Capital'!$D$16))+(E159*'5.Closing Stock &amp; W Capital'!$D$16))*$C218*H$172</f>
        <v>0</v>
      </c>
      <c r="I218" s="270">
        <f>((G159*(1-'5.Closing Stock &amp; W Capital'!$D$16))+(F159*'5.Closing Stock &amp; W Capital'!$D$16))*$C218*I$172</f>
        <v>0</v>
      </c>
      <c r="J218" s="270">
        <f>((H159*(1-'5.Closing Stock &amp; W Capital'!$D$16))+(G159*'5.Closing Stock &amp; W Capital'!$D$16))*$C218*J$172</f>
        <v>0</v>
      </c>
      <c r="K218" s="71"/>
      <c r="L218" s="71"/>
    </row>
    <row r="219" spans="1:12" ht="15.75" customHeight="1">
      <c r="A219" s="266">
        <f t="shared" si="94"/>
        <v>0</v>
      </c>
      <c r="B219" s="76" t="s">
        <v>585</v>
      </c>
      <c r="C219" s="273"/>
      <c r="D219" s="270">
        <f>(B160*(1-'5.Closing Stock &amp; W Capital'!$D$16))*$C219*D$172</f>
        <v>0</v>
      </c>
      <c r="E219" s="270">
        <f>((C160*(1-'5.Closing Stock &amp; W Capital'!$D$16))+(B160*'5.Closing Stock &amp; W Capital'!$D$16))*$C219*E$172</f>
        <v>0</v>
      </c>
      <c r="F219" s="270">
        <f>((D160*(1-'5.Closing Stock &amp; W Capital'!$D$16))+(C160*'5.Closing Stock &amp; W Capital'!$D$16))*$C219*F$172</f>
        <v>0</v>
      </c>
      <c r="G219" s="270">
        <f>((E160*(1-'5.Closing Stock &amp; W Capital'!$D$16))+(D160*'5.Closing Stock &amp; W Capital'!$D$16))*$C219*G$172</f>
        <v>0</v>
      </c>
      <c r="H219" s="270">
        <f>((F160*(1-'5.Closing Stock &amp; W Capital'!$D$16))+(E160*'5.Closing Stock &amp; W Capital'!$D$16))*$C219*H$172</f>
        <v>0</v>
      </c>
      <c r="I219" s="270">
        <f>((G160*(1-'5.Closing Stock &amp; W Capital'!$D$16))+(F160*'5.Closing Stock &amp; W Capital'!$D$16))*$C219*I$172</f>
        <v>0</v>
      </c>
      <c r="J219" s="270">
        <f>((H160*(1-'5.Closing Stock &amp; W Capital'!$D$16))+(G160*'5.Closing Stock &amp; W Capital'!$D$16))*$C219*J$172</f>
        <v>0</v>
      </c>
      <c r="K219" s="71"/>
      <c r="L219" s="71"/>
    </row>
    <row r="220" spans="1:12" ht="15.75" customHeight="1">
      <c r="A220" s="266">
        <f t="shared" si="94"/>
        <v>0</v>
      </c>
      <c r="B220" s="76" t="s">
        <v>585</v>
      </c>
      <c r="C220" s="273"/>
      <c r="D220" s="270">
        <f>(B161*(1-'5.Closing Stock &amp; W Capital'!$D$16))*$C220*D$172</f>
        <v>0</v>
      </c>
      <c r="E220" s="270">
        <f>((C161*(1-'5.Closing Stock &amp; W Capital'!$D$16))+(B161*'5.Closing Stock &amp; W Capital'!$D$16))*$C220*E$172</f>
        <v>0</v>
      </c>
      <c r="F220" s="270">
        <f>((D161*(1-'5.Closing Stock &amp; W Capital'!$D$16))+(C161*'5.Closing Stock &amp; W Capital'!$D$16))*$C220*F$172</f>
        <v>0</v>
      </c>
      <c r="G220" s="270">
        <f>((E161*(1-'5.Closing Stock &amp; W Capital'!$D$16))+(D161*'5.Closing Stock &amp; W Capital'!$D$16))*$C220*G$172</f>
        <v>0</v>
      </c>
      <c r="H220" s="270">
        <f>((F161*(1-'5.Closing Stock &amp; W Capital'!$D$16))+(E161*'5.Closing Stock &amp; W Capital'!$D$16))*$C220*H$172</f>
        <v>0</v>
      </c>
      <c r="I220" s="270">
        <f>((G161*(1-'5.Closing Stock &amp; W Capital'!$D$16))+(F161*'5.Closing Stock &amp; W Capital'!$D$16))*$C220*I$172</f>
        <v>0</v>
      </c>
      <c r="J220" s="270">
        <f>((H161*(1-'5.Closing Stock &amp; W Capital'!$D$16))+(G161*'5.Closing Stock &amp; W Capital'!$D$16))*$C220*J$172</f>
        <v>0</v>
      </c>
      <c r="K220" s="71"/>
      <c r="L220" s="71"/>
    </row>
    <row r="221" spans="1:12" ht="15.75" customHeight="1">
      <c r="A221" s="266">
        <f t="shared" si="94"/>
        <v>0</v>
      </c>
      <c r="B221" s="76" t="s">
        <v>585</v>
      </c>
      <c r="C221" s="273"/>
      <c r="D221" s="270">
        <f>(B162*(1-'5.Closing Stock &amp; W Capital'!$D$16))*$C221*D$172</f>
        <v>0</v>
      </c>
      <c r="E221" s="270">
        <f>((C162*(1-'5.Closing Stock &amp; W Capital'!$D$16))+(B162*'5.Closing Stock &amp; W Capital'!$D$16))*$C221*E$172</f>
        <v>0</v>
      </c>
      <c r="F221" s="270">
        <f>((D162*(1-'5.Closing Stock &amp; W Capital'!$D$16))+(C162*'5.Closing Stock &amp; W Capital'!$D$16))*$C221*F$172</f>
        <v>0</v>
      </c>
      <c r="G221" s="270">
        <f>((E162*(1-'5.Closing Stock &amp; W Capital'!$D$16))+(D162*'5.Closing Stock &amp; W Capital'!$D$16))*$C221*G$172</f>
        <v>0</v>
      </c>
      <c r="H221" s="270">
        <f>((F162*(1-'5.Closing Stock &amp; W Capital'!$D$16))+(E162*'5.Closing Stock &amp; W Capital'!$D$16))*$C221*H$172</f>
        <v>0</v>
      </c>
      <c r="I221" s="270">
        <f>((G162*(1-'5.Closing Stock &amp; W Capital'!$D$16))+(F162*'5.Closing Stock &amp; W Capital'!$D$16))*$C221*I$172</f>
        <v>0</v>
      </c>
      <c r="J221" s="270">
        <f>((H162*(1-'5.Closing Stock &amp; W Capital'!$D$16))+(G162*'5.Closing Stock &amp; W Capital'!$D$16))*$C221*J$172</f>
        <v>0</v>
      </c>
      <c r="K221" s="71"/>
      <c r="L221" s="71"/>
    </row>
    <row r="222" spans="1:12" ht="15.75" customHeight="1">
      <c r="A222" s="266">
        <f t="shared" si="94"/>
        <v>0</v>
      </c>
      <c r="B222" s="76" t="s">
        <v>585</v>
      </c>
      <c r="C222" s="273"/>
      <c r="D222" s="270">
        <f>(B163*(1-'5.Closing Stock &amp; W Capital'!$D$16))*$C222*D$172</f>
        <v>0</v>
      </c>
      <c r="E222" s="270">
        <f>((C163*(1-'5.Closing Stock &amp; W Capital'!$D$16))+(B163*'5.Closing Stock &amp; W Capital'!$D$16))*$C222*E$172</f>
        <v>0</v>
      </c>
      <c r="F222" s="270">
        <f>((D163*(1-'5.Closing Stock &amp; W Capital'!$D$16))+(C163*'5.Closing Stock &amp; W Capital'!$D$16))*$C222*F$172</f>
        <v>0</v>
      </c>
      <c r="G222" s="270">
        <f>((E163*(1-'5.Closing Stock &amp; W Capital'!$D$16))+(D163*'5.Closing Stock &amp; W Capital'!$D$16))*$C222*G$172</f>
        <v>0</v>
      </c>
      <c r="H222" s="270">
        <f>((F163*(1-'5.Closing Stock &amp; W Capital'!$D$16))+(E163*'5.Closing Stock &amp; W Capital'!$D$16))*$C222*H$172</f>
        <v>0</v>
      </c>
      <c r="I222" s="270">
        <f>((G163*(1-'5.Closing Stock &amp; W Capital'!$D$16))+(F163*'5.Closing Stock &amp; W Capital'!$D$16))*$C222*I$172</f>
        <v>0</v>
      </c>
      <c r="J222" s="270">
        <f>((H163*(1-'5.Closing Stock &amp; W Capital'!$D$16))+(G163*'5.Closing Stock &amp; W Capital'!$D$16))*$C222*J$172</f>
        <v>0</v>
      </c>
      <c r="K222" s="71"/>
      <c r="L222" s="71"/>
    </row>
    <row r="223" spans="1:12" ht="15.75" customHeight="1">
      <c r="A223" s="266">
        <f t="shared" si="94"/>
        <v>0</v>
      </c>
      <c r="B223" s="76" t="s">
        <v>585</v>
      </c>
      <c r="C223" s="273"/>
      <c r="D223" s="270">
        <f>(B164*(1-'5.Closing Stock &amp; W Capital'!$D$16))*$C223*D$172</f>
        <v>0</v>
      </c>
      <c r="E223" s="270">
        <f>((C164*(1-'5.Closing Stock &amp; W Capital'!$D$16))+(B164*'5.Closing Stock &amp; W Capital'!$D$16))*$C223*E$172</f>
        <v>0</v>
      </c>
      <c r="F223" s="270">
        <f>((D164*(1-'5.Closing Stock &amp; W Capital'!$D$16))+(C164*'5.Closing Stock &amp; W Capital'!$D$16))*$C223*F$172</f>
        <v>0</v>
      </c>
      <c r="G223" s="270">
        <f>((E164*(1-'5.Closing Stock &amp; W Capital'!$D$16))+(D164*'5.Closing Stock &amp; W Capital'!$D$16))*$C223*G$172</f>
        <v>0</v>
      </c>
      <c r="H223" s="270">
        <f>((F164*(1-'5.Closing Stock &amp; W Capital'!$D$16))+(E164*'5.Closing Stock &amp; W Capital'!$D$16))*$C223*H$172</f>
        <v>0</v>
      </c>
      <c r="I223" s="270">
        <f>((G164*(1-'5.Closing Stock &amp; W Capital'!$D$16))+(F164*'5.Closing Stock &amp; W Capital'!$D$16))*$C223*I$172</f>
        <v>0</v>
      </c>
      <c r="J223" s="270">
        <f>((H164*(1-'5.Closing Stock &amp; W Capital'!$D$16))+(G164*'5.Closing Stock &amp; W Capital'!$D$16))*$C223*J$172</f>
        <v>0</v>
      </c>
      <c r="K223" s="71"/>
      <c r="L223" s="71"/>
    </row>
    <row r="224" spans="1:12" ht="15.75" customHeight="1">
      <c r="A224" s="266" t="str">
        <f t="shared" si="94"/>
        <v>Pomegranate</v>
      </c>
      <c r="B224" s="76" t="s">
        <v>585</v>
      </c>
      <c r="C224" s="273">
        <v>5000</v>
      </c>
      <c r="D224" s="270">
        <f>(B165*(1-'5.Closing Stock &amp; W Capital'!$D$16))*$C224*D$172</f>
        <v>0</v>
      </c>
      <c r="E224" s="270">
        <f>((C165*(1-'5.Closing Stock &amp; W Capital'!$D$16))+(B165*'5.Closing Stock &amp; W Capital'!$D$16))*$C224*E$172</f>
        <v>0</v>
      </c>
      <c r="F224" s="270">
        <f>((D165*(1-'5.Closing Stock &amp; W Capital'!$D$16))+(C165*'5.Closing Stock &amp; W Capital'!$D$16))*$C224*F$172</f>
        <v>0</v>
      </c>
      <c r="G224" s="270">
        <f>((E165*(1-'5.Closing Stock &amp; W Capital'!$D$16))+(D165*'5.Closing Stock &amp; W Capital'!$D$16))*$C224*G$172</f>
        <v>0</v>
      </c>
      <c r="H224" s="270">
        <f>((F165*(1-'5.Closing Stock &amp; W Capital'!$D$16))+(E165*'5.Closing Stock &amp; W Capital'!$D$16))*$C224*H$172</f>
        <v>0</v>
      </c>
      <c r="I224" s="270">
        <f>((G165*(1-'5.Closing Stock &amp; W Capital'!$D$16))+(F165*'5.Closing Stock &amp; W Capital'!$D$16))*$C224*I$172</f>
        <v>0</v>
      </c>
      <c r="J224" s="270">
        <f>((H165*(1-'5.Closing Stock &amp; W Capital'!$D$16))+(G165*'5.Closing Stock &amp; W Capital'!$D$16))*$C224*J$172</f>
        <v>0</v>
      </c>
      <c r="K224" s="71"/>
      <c r="L224" s="71"/>
    </row>
    <row r="225" spans="1:12" ht="15.75" customHeight="1">
      <c r="A225" s="266" t="str">
        <f t="shared" si="94"/>
        <v>Custard Apple</v>
      </c>
      <c r="B225" s="76" t="s">
        <v>585</v>
      </c>
      <c r="C225" s="273"/>
      <c r="D225" s="270">
        <f>(B166*(1-'5.Closing Stock &amp; W Capital'!$D$16))*$C225*D$172</f>
        <v>0</v>
      </c>
      <c r="E225" s="270">
        <f>((C166*(1-'5.Closing Stock &amp; W Capital'!$D$16))+(B166*'5.Closing Stock &amp; W Capital'!$D$16))*$C225*E$172</f>
        <v>0</v>
      </c>
      <c r="F225" s="270">
        <f>((D166*(1-'5.Closing Stock &amp; W Capital'!$D$16))+(C166*'5.Closing Stock &amp; W Capital'!$D$16))*$C225*F$172</f>
        <v>0</v>
      </c>
      <c r="G225" s="270">
        <f>((E166*(1-'5.Closing Stock &amp; W Capital'!$D$16))+(D166*'5.Closing Stock &amp; W Capital'!$D$16))*$C225*G$172</f>
        <v>0</v>
      </c>
      <c r="H225" s="270">
        <f>((F166*(1-'5.Closing Stock &amp; W Capital'!$D$16))+(E166*'5.Closing Stock &amp; W Capital'!$D$16))*$C225*H$172</f>
        <v>0</v>
      </c>
      <c r="I225" s="270">
        <f>((G166*(1-'5.Closing Stock &amp; W Capital'!$D$16))+(F166*'5.Closing Stock &amp; W Capital'!$D$16))*$C225*I$172</f>
        <v>0</v>
      </c>
      <c r="J225" s="270">
        <f>((H166*(1-'5.Closing Stock &amp; W Capital'!$D$16))+(G166*'5.Closing Stock &amp; W Capital'!$D$16))*$C225*J$172</f>
        <v>0</v>
      </c>
      <c r="K225" s="71"/>
      <c r="L225" s="71"/>
    </row>
    <row r="226" spans="1:12" ht="15.75" customHeight="1">
      <c r="A226" s="266" t="str">
        <f t="shared" si="94"/>
        <v>Guava</v>
      </c>
      <c r="B226" s="76" t="s">
        <v>585</v>
      </c>
      <c r="C226" s="273"/>
      <c r="D226" s="270">
        <f>(B167*(1-'5.Closing Stock &amp; W Capital'!$D$16))*$C226*D$172</f>
        <v>0</v>
      </c>
      <c r="E226" s="270">
        <f>((C167*(1-'5.Closing Stock &amp; W Capital'!$D$16))+(B167*'5.Closing Stock &amp; W Capital'!$D$16))*$C226*E$172</f>
        <v>0</v>
      </c>
      <c r="F226" s="270">
        <f>((D167*(1-'5.Closing Stock &amp; W Capital'!$D$16))+(C167*'5.Closing Stock &amp; W Capital'!$D$16))*$C226*F$172</f>
        <v>0</v>
      </c>
      <c r="G226" s="270">
        <f>((E167*(1-'5.Closing Stock &amp; W Capital'!$D$16))+(D167*'5.Closing Stock &amp; W Capital'!$D$16))*$C226*G$172</f>
        <v>0</v>
      </c>
      <c r="H226" s="270">
        <f>((F167*(1-'5.Closing Stock &amp; W Capital'!$D$16))+(E167*'5.Closing Stock &amp; W Capital'!$D$16))*$C226*H$172</f>
        <v>0</v>
      </c>
      <c r="I226" s="270">
        <f>((G167*(1-'5.Closing Stock &amp; W Capital'!$D$16))+(F167*'5.Closing Stock &amp; W Capital'!$D$16))*$C226*I$172</f>
        <v>0</v>
      </c>
      <c r="J226" s="270">
        <f>((H167*(1-'5.Closing Stock &amp; W Capital'!$D$16))+(G167*'5.Closing Stock &amp; W Capital'!$D$16))*$C226*J$172</f>
        <v>0</v>
      </c>
      <c r="K226" s="71"/>
      <c r="L226" s="71"/>
    </row>
    <row r="227" spans="1:12" ht="15.75" customHeight="1">
      <c r="A227" s="266" t="str">
        <f t="shared" si="94"/>
        <v>Citrus</v>
      </c>
      <c r="B227" s="76" t="s">
        <v>585</v>
      </c>
      <c r="C227" s="273"/>
      <c r="D227" s="270">
        <f>(B168*(1-'5.Closing Stock &amp; W Capital'!$D$16))*$C227*D$172</f>
        <v>0</v>
      </c>
      <c r="E227" s="270">
        <f>((C168*(1-'5.Closing Stock &amp; W Capital'!$D$16))+(B168*'5.Closing Stock &amp; W Capital'!$D$16))*$C227*E$172</f>
        <v>0</v>
      </c>
      <c r="F227" s="270">
        <f>((D168*(1-'5.Closing Stock &amp; W Capital'!$D$16))+(C168*'5.Closing Stock &amp; W Capital'!$D$16))*$C227*F$172</f>
        <v>0</v>
      </c>
      <c r="G227" s="270">
        <f>((E168*(1-'5.Closing Stock &amp; W Capital'!$D$16))+(D168*'5.Closing Stock &amp; W Capital'!$D$16))*$C227*G$172</f>
        <v>0</v>
      </c>
      <c r="H227" s="270">
        <f>((F168*(1-'5.Closing Stock &amp; W Capital'!$D$16))+(E168*'5.Closing Stock &amp; W Capital'!$D$16))*$C227*H$172</f>
        <v>0</v>
      </c>
      <c r="I227" s="270">
        <f>((G168*(1-'5.Closing Stock &amp; W Capital'!$D$16))+(F168*'5.Closing Stock &amp; W Capital'!$D$16))*$C227*I$172</f>
        <v>0</v>
      </c>
      <c r="J227" s="270">
        <f>((H168*(1-'5.Closing Stock &amp; W Capital'!$D$16))+(G168*'5.Closing Stock &amp; W Capital'!$D$16))*$C227*J$172</f>
        <v>0</v>
      </c>
      <c r="K227" s="71"/>
      <c r="L227" s="71"/>
    </row>
    <row r="228" spans="1:12" ht="15.75" customHeight="1">
      <c r="A228" s="79"/>
      <c r="B228" s="79"/>
      <c r="C228" s="79"/>
      <c r="D228" s="76"/>
      <c r="E228" s="76"/>
      <c r="F228" s="76"/>
      <c r="G228" s="76"/>
      <c r="H228" s="76"/>
      <c r="I228" s="76"/>
      <c r="J228" s="76"/>
      <c r="K228" s="71"/>
      <c r="L228" s="71"/>
    </row>
    <row r="229" spans="1:12" ht="15.75" customHeight="1">
      <c r="A229" s="79" t="s">
        <v>354</v>
      </c>
      <c r="B229" s="79"/>
      <c r="C229" s="79"/>
      <c r="D229" s="266">
        <f t="shared" ref="D229:J229" si="95">SUM(D178:D228)</f>
        <v>28214486.999999996</v>
      </c>
      <c r="E229" s="266">
        <f t="shared" si="95"/>
        <v>31184432.999999996</v>
      </c>
      <c r="F229" s="266">
        <f t="shared" si="95"/>
        <v>32743654.649999999</v>
      </c>
      <c r="G229" s="266">
        <f t="shared" si="95"/>
        <v>34380837.3825</v>
      </c>
      <c r="H229" s="266">
        <f t="shared" si="95"/>
        <v>36099879.251625001</v>
      </c>
      <c r="I229" s="266">
        <f t="shared" si="95"/>
        <v>37904873.214206256</v>
      </c>
      <c r="J229" s="266">
        <f t="shared" si="95"/>
        <v>39800116.874916568</v>
      </c>
      <c r="K229" s="71"/>
      <c r="L229" s="71"/>
    </row>
    <row r="230" spans="1:12" ht="15.75" customHeight="1">
      <c r="A230" s="76"/>
      <c r="B230" s="76"/>
      <c r="C230" s="76"/>
      <c r="D230" s="76"/>
      <c r="E230" s="76"/>
      <c r="F230" s="76"/>
      <c r="G230" s="76"/>
      <c r="H230" s="76"/>
      <c r="I230" s="76"/>
      <c r="J230" s="76"/>
      <c r="K230" s="71"/>
      <c r="L230" s="71"/>
    </row>
    <row r="231" spans="1:12" ht="15.75" customHeight="1">
      <c r="A231" s="79" t="s">
        <v>587</v>
      </c>
      <c r="B231" s="79"/>
      <c r="C231" s="79"/>
      <c r="D231" s="76"/>
      <c r="E231" s="76"/>
      <c r="F231" s="76"/>
      <c r="G231" s="76"/>
      <c r="H231" s="76"/>
      <c r="I231" s="76"/>
      <c r="J231" s="76"/>
      <c r="K231" s="71"/>
      <c r="L231" s="71"/>
    </row>
    <row r="232" spans="1:12" ht="15.75" customHeight="1">
      <c r="A232" s="79" t="s">
        <v>355</v>
      </c>
      <c r="B232" s="79"/>
      <c r="C232" s="76"/>
      <c r="D232" s="76"/>
      <c r="E232" s="76"/>
      <c r="F232" s="76"/>
      <c r="G232" s="76"/>
      <c r="H232" s="76"/>
      <c r="I232" s="76"/>
      <c r="J232" s="76"/>
      <c r="K232" s="71"/>
      <c r="L232" s="71"/>
    </row>
    <row r="233" spans="1:12" ht="15.75" customHeight="1">
      <c r="A233" s="270" t="str">
        <f t="shared" ref="A233:A254" si="96">A178</f>
        <v>Soybean</v>
      </c>
      <c r="B233" s="76" t="s">
        <v>585</v>
      </c>
      <c r="C233" s="77">
        <v>3800</v>
      </c>
      <c r="D233" s="78">
        <f t="shared" ref="D233:E233" si="97">B68*$C$233*D$172</f>
        <v>0</v>
      </c>
      <c r="E233" s="78">
        <f t="shared" si="97"/>
        <v>0</v>
      </c>
      <c r="F233" s="78">
        <f t="shared" ref="F233:J233" si="98">D68*$C$233*F172</f>
        <v>0</v>
      </c>
      <c r="G233" s="78">
        <f t="shared" si="98"/>
        <v>0</v>
      </c>
      <c r="H233" s="78">
        <f t="shared" si="98"/>
        <v>0</v>
      </c>
      <c r="I233" s="78">
        <f t="shared" si="98"/>
        <v>0</v>
      </c>
      <c r="J233" s="78">
        <f t="shared" si="98"/>
        <v>0</v>
      </c>
      <c r="K233" s="71"/>
      <c r="L233" s="71"/>
    </row>
    <row r="234" spans="1:12" ht="15.75" customHeight="1">
      <c r="A234" s="270" t="str">
        <f t="shared" si="96"/>
        <v>Red Gram/Tur</v>
      </c>
      <c r="B234" s="76" t="s">
        <v>585</v>
      </c>
      <c r="C234" s="77">
        <v>5800</v>
      </c>
      <c r="D234" s="78">
        <f>B69*$C$234*D$172</f>
        <v>0</v>
      </c>
      <c r="E234" s="78">
        <f t="shared" ref="E234:J234" si="99">C69*$C$234*E172</f>
        <v>0</v>
      </c>
      <c r="F234" s="78">
        <f t="shared" si="99"/>
        <v>0</v>
      </c>
      <c r="G234" s="78">
        <f t="shared" si="99"/>
        <v>0</v>
      </c>
      <c r="H234" s="78">
        <f t="shared" si="99"/>
        <v>0</v>
      </c>
      <c r="I234" s="78">
        <f t="shared" si="99"/>
        <v>0</v>
      </c>
      <c r="J234" s="78">
        <f t="shared" si="99"/>
        <v>0</v>
      </c>
      <c r="K234" s="71"/>
      <c r="L234" s="71"/>
    </row>
    <row r="235" spans="1:12" ht="15.75" customHeight="1">
      <c r="A235" s="270" t="str">
        <f t="shared" si="96"/>
        <v>Turmeric</v>
      </c>
      <c r="B235" s="76" t="s">
        <v>585</v>
      </c>
      <c r="C235" s="77">
        <v>7500</v>
      </c>
      <c r="D235" s="78">
        <f>B70*$C$235*D$172</f>
        <v>28349999.999999996</v>
      </c>
      <c r="E235" s="78">
        <f t="shared" ref="E235:J235" si="100">C70*$C$235*E172</f>
        <v>29767499.999999996</v>
      </c>
      <c r="F235" s="78">
        <f t="shared" si="100"/>
        <v>31255874.999999996</v>
      </c>
      <c r="G235" s="78">
        <f t="shared" si="100"/>
        <v>32818668.75</v>
      </c>
      <c r="H235" s="78">
        <f t="shared" si="100"/>
        <v>34459602.1875</v>
      </c>
      <c r="I235" s="78">
        <f t="shared" si="100"/>
        <v>36182582.296875007</v>
      </c>
      <c r="J235" s="78">
        <f t="shared" si="100"/>
        <v>37991711.411718756</v>
      </c>
      <c r="K235" s="71"/>
      <c r="L235" s="71"/>
    </row>
    <row r="236" spans="1:12" ht="15.75" customHeight="1">
      <c r="A236" s="270" t="str">
        <f t="shared" si="96"/>
        <v>Green Gram/ Moong</v>
      </c>
      <c r="B236" s="76" t="s">
        <v>585</v>
      </c>
      <c r="C236" s="77">
        <v>5800</v>
      </c>
      <c r="D236" s="78">
        <f t="shared" ref="D236:J236" si="101">B71*$C$236*D$172</f>
        <v>0</v>
      </c>
      <c r="E236" s="78">
        <f t="shared" si="101"/>
        <v>0</v>
      </c>
      <c r="F236" s="78">
        <f t="shared" si="101"/>
        <v>0</v>
      </c>
      <c r="G236" s="78">
        <f t="shared" si="101"/>
        <v>0</v>
      </c>
      <c r="H236" s="78">
        <f t="shared" si="101"/>
        <v>0</v>
      </c>
      <c r="I236" s="78">
        <f t="shared" si="101"/>
        <v>0</v>
      </c>
      <c r="J236" s="78">
        <f t="shared" si="101"/>
        <v>0</v>
      </c>
      <c r="K236" s="71"/>
      <c r="L236" s="71"/>
    </row>
    <row r="237" spans="1:12" ht="15.75" customHeight="1">
      <c r="A237" s="270" t="str">
        <f t="shared" si="96"/>
        <v>Maize</v>
      </c>
      <c r="B237" s="76" t="s">
        <v>585</v>
      </c>
      <c r="C237" s="77"/>
      <c r="D237" s="78">
        <f t="shared" ref="D237:J237" si="102">B72*$C$237*D$172</f>
        <v>0</v>
      </c>
      <c r="E237" s="78">
        <f t="shared" si="102"/>
        <v>0</v>
      </c>
      <c r="F237" s="78">
        <f t="shared" si="102"/>
        <v>0</v>
      </c>
      <c r="G237" s="78">
        <f t="shared" si="102"/>
        <v>0</v>
      </c>
      <c r="H237" s="78">
        <f t="shared" si="102"/>
        <v>0</v>
      </c>
      <c r="I237" s="78">
        <f t="shared" si="102"/>
        <v>0</v>
      </c>
      <c r="J237" s="78">
        <f t="shared" si="102"/>
        <v>0</v>
      </c>
      <c r="K237" s="71"/>
      <c r="L237" s="71"/>
    </row>
    <row r="238" spans="1:12" ht="15.75" customHeight="1">
      <c r="A238" s="270" t="str">
        <f t="shared" si="96"/>
        <v>Black Gram/Udid</v>
      </c>
      <c r="B238" s="76" t="s">
        <v>585</v>
      </c>
      <c r="C238" s="77">
        <v>6300</v>
      </c>
      <c r="D238" s="78">
        <f t="shared" ref="D238:J238" si="103">B73*$C$238*D$172</f>
        <v>0</v>
      </c>
      <c r="E238" s="78">
        <f t="shared" si="103"/>
        <v>0</v>
      </c>
      <c r="F238" s="78">
        <f t="shared" si="103"/>
        <v>0</v>
      </c>
      <c r="G238" s="78">
        <f t="shared" si="103"/>
        <v>0</v>
      </c>
      <c r="H238" s="78">
        <f t="shared" si="103"/>
        <v>0</v>
      </c>
      <c r="I238" s="78">
        <f t="shared" si="103"/>
        <v>0</v>
      </c>
      <c r="J238" s="78">
        <f t="shared" si="103"/>
        <v>0</v>
      </c>
      <c r="K238" s="71"/>
      <c r="L238" s="71"/>
    </row>
    <row r="239" spans="1:12" ht="15.75" customHeight="1">
      <c r="A239" s="270" t="str">
        <f t="shared" si="96"/>
        <v>Bajra</v>
      </c>
      <c r="B239" s="76" t="s">
        <v>585</v>
      </c>
      <c r="C239" s="77">
        <v>1800</v>
      </c>
      <c r="D239" s="78">
        <f t="shared" ref="D239:J239" si="104">B74*$C$239*D$172</f>
        <v>0</v>
      </c>
      <c r="E239" s="78">
        <f t="shared" si="104"/>
        <v>0</v>
      </c>
      <c r="F239" s="78">
        <f t="shared" si="104"/>
        <v>0</v>
      </c>
      <c r="G239" s="78">
        <f t="shared" si="104"/>
        <v>0</v>
      </c>
      <c r="H239" s="78">
        <f t="shared" si="104"/>
        <v>0</v>
      </c>
      <c r="I239" s="78">
        <f t="shared" si="104"/>
        <v>0</v>
      </c>
      <c r="J239" s="78">
        <f t="shared" si="104"/>
        <v>0</v>
      </c>
      <c r="K239" s="71"/>
      <c r="L239" s="71"/>
    </row>
    <row r="240" spans="1:12" ht="15.75" customHeight="1">
      <c r="A240" s="270" t="str">
        <f t="shared" si="96"/>
        <v>Jawar</v>
      </c>
      <c r="B240" s="76" t="s">
        <v>585</v>
      </c>
      <c r="C240" s="77"/>
      <c r="D240" s="78">
        <f t="shared" ref="D240:J240" si="105">B75*$C$240*D$172</f>
        <v>0</v>
      </c>
      <c r="E240" s="78">
        <f t="shared" si="105"/>
        <v>0</v>
      </c>
      <c r="F240" s="78">
        <f t="shared" si="105"/>
        <v>0</v>
      </c>
      <c r="G240" s="78">
        <f t="shared" si="105"/>
        <v>0</v>
      </c>
      <c r="H240" s="78">
        <f t="shared" si="105"/>
        <v>0</v>
      </c>
      <c r="I240" s="78">
        <f t="shared" si="105"/>
        <v>0</v>
      </c>
      <c r="J240" s="78">
        <f t="shared" si="105"/>
        <v>0</v>
      </c>
      <c r="K240" s="71"/>
      <c r="L240" s="71"/>
    </row>
    <row r="241" spans="1:12" ht="15.75" customHeight="1">
      <c r="A241" s="270" t="str">
        <f t="shared" si="96"/>
        <v>Sunflower</v>
      </c>
      <c r="B241" s="76" t="s">
        <v>585</v>
      </c>
      <c r="C241" s="77"/>
      <c r="D241" s="78">
        <f t="shared" ref="D241:J241" si="106">B76*$C$241*D$172</f>
        <v>0</v>
      </c>
      <c r="E241" s="78">
        <f t="shared" si="106"/>
        <v>0</v>
      </c>
      <c r="F241" s="78">
        <f t="shared" si="106"/>
        <v>0</v>
      </c>
      <c r="G241" s="78">
        <f t="shared" si="106"/>
        <v>0</v>
      </c>
      <c r="H241" s="78">
        <f t="shared" si="106"/>
        <v>0</v>
      </c>
      <c r="I241" s="78">
        <f t="shared" si="106"/>
        <v>0</v>
      </c>
      <c r="J241" s="78">
        <f t="shared" si="106"/>
        <v>0</v>
      </c>
      <c r="K241" s="71"/>
      <c r="L241" s="71"/>
    </row>
    <row r="242" spans="1:12" ht="15.75" customHeight="1">
      <c r="A242" s="270" t="str">
        <f t="shared" si="96"/>
        <v>Wheat</v>
      </c>
      <c r="B242" s="76" t="s">
        <v>585</v>
      </c>
      <c r="C242" s="77"/>
      <c r="D242" s="78">
        <f t="shared" ref="D242:J242" si="107">B77*$C$242*D$172</f>
        <v>0</v>
      </c>
      <c r="E242" s="78">
        <f t="shared" si="107"/>
        <v>0</v>
      </c>
      <c r="F242" s="78">
        <f t="shared" si="107"/>
        <v>0</v>
      </c>
      <c r="G242" s="78">
        <f t="shared" si="107"/>
        <v>0</v>
      </c>
      <c r="H242" s="78">
        <f t="shared" si="107"/>
        <v>0</v>
      </c>
      <c r="I242" s="78">
        <f t="shared" si="107"/>
        <v>0</v>
      </c>
      <c r="J242" s="78">
        <f t="shared" si="107"/>
        <v>0</v>
      </c>
      <c r="K242" s="71"/>
      <c r="L242" s="71"/>
    </row>
    <row r="243" spans="1:12" ht="15.75" customHeight="1">
      <c r="A243" s="270" t="str">
        <f t="shared" si="96"/>
        <v>Bengal Gram/Channa</v>
      </c>
      <c r="B243" s="76" t="s">
        <v>585</v>
      </c>
      <c r="C243" s="77">
        <v>4800</v>
      </c>
      <c r="D243" s="78">
        <f t="shared" ref="D243:J243" si="108">B78*$C$243*D$172</f>
        <v>0</v>
      </c>
      <c r="E243" s="78">
        <f t="shared" si="108"/>
        <v>0</v>
      </c>
      <c r="F243" s="78">
        <f t="shared" si="108"/>
        <v>0</v>
      </c>
      <c r="G243" s="78">
        <f t="shared" si="108"/>
        <v>0</v>
      </c>
      <c r="H243" s="78">
        <f t="shared" si="108"/>
        <v>0</v>
      </c>
      <c r="I243" s="78">
        <f t="shared" si="108"/>
        <v>0</v>
      </c>
      <c r="J243" s="78">
        <f t="shared" si="108"/>
        <v>0</v>
      </c>
      <c r="K243" s="71"/>
      <c r="L243" s="71"/>
    </row>
    <row r="244" spans="1:12" ht="15.75" customHeight="1">
      <c r="A244" s="270" t="str">
        <f t="shared" si="96"/>
        <v>Jawar</v>
      </c>
      <c r="B244" s="76" t="s">
        <v>585</v>
      </c>
      <c r="C244" s="77"/>
      <c r="D244" s="78">
        <f t="shared" ref="D244:J244" si="109">B79*$C$244*D$172</f>
        <v>0</v>
      </c>
      <c r="E244" s="78">
        <f t="shared" si="109"/>
        <v>0</v>
      </c>
      <c r="F244" s="78">
        <f t="shared" si="109"/>
        <v>0</v>
      </c>
      <c r="G244" s="78">
        <f t="shared" si="109"/>
        <v>0</v>
      </c>
      <c r="H244" s="78">
        <f t="shared" si="109"/>
        <v>0</v>
      </c>
      <c r="I244" s="78">
        <f t="shared" si="109"/>
        <v>0</v>
      </c>
      <c r="J244" s="78">
        <f t="shared" si="109"/>
        <v>0</v>
      </c>
      <c r="K244" s="71"/>
      <c r="L244" s="71"/>
    </row>
    <row r="245" spans="1:12" ht="15.75" customHeight="1">
      <c r="A245" s="270" t="str">
        <f t="shared" si="96"/>
        <v>Maize</v>
      </c>
      <c r="B245" s="76" t="s">
        <v>585</v>
      </c>
      <c r="C245" s="77"/>
      <c r="D245" s="78">
        <f t="shared" ref="D245:J245" si="110">B80*$C$245*D$172</f>
        <v>0</v>
      </c>
      <c r="E245" s="78">
        <f t="shared" si="110"/>
        <v>0</v>
      </c>
      <c r="F245" s="78">
        <f t="shared" si="110"/>
        <v>0</v>
      </c>
      <c r="G245" s="78">
        <f t="shared" si="110"/>
        <v>0</v>
      </c>
      <c r="H245" s="78">
        <f t="shared" si="110"/>
        <v>0</v>
      </c>
      <c r="I245" s="78">
        <f t="shared" si="110"/>
        <v>0</v>
      </c>
      <c r="J245" s="78">
        <f t="shared" si="110"/>
        <v>0</v>
      </c>
      <c r="K245" s="71"/>
      <c r="L245" s="71"/>
    </row>
    <row r="246" spans="1:12" ht="15.75" customHeight="1">
      <c r="A246" s="270" t="str">
        <f t="shared" si="96"/>
        <v>Safflower</v>
      </c>
      <c r="B246" s="76" t="s">
        <v>585</v>
      </c>
      <c r="C246" s="77"/>
      <c r="D246" s="78">
        <f t="shared" ref="D246:J246" si="111">B81*$C$246*D$172</f>
        <v>0</v>
      </c>
      <c r="E246" s="78">
        <f t="shared" si="111"/>
        <v>0</v>
      </c>
      <c r="F246" s="78">
        <f t="shared" si="111"/>
        <v>0</v>
      </c>
      <c r="G246" s="78">
        <f t="shared" si="111"/>
        <v>0</v>
      </c>
      <c r="H246" s="78">
        <f t="shared" si="111"/>
        <v>0</v>
      </c>
      <c r="I246" s="78">
        <f t="shared" si="111"/>
        <v>0</v>
      </c>
      <c r="J246" s="78">
        <f t="shared" si="111"/>
        <v>0</v>
      </c>
      <c r="K246" s="71"/>
      <c r="L246" s="71"/>
    </row>
    <row r="247" spans="1:12" ht="15.75" customHeight="1">
      <c r="A247" s="270">
        <f t="shared" si="96"/>
        <v>0</v>
      </c>
      <c r="B247" s="76" t="s">
        <v>585</v>
      </c>
      <c r="C247" s="77"/>
      <c r="D247" s="78">
        <f t="shared" ref="D247:J247" si="112">B82*$C$247*D$172</f>
        <v>0</v>
      </c>
      <c r="E247" s="78">
        <f t="shared" si="112"/>
        <v>0</v>
      </c>
      <c r="F247" s="78">
        <f t="shared" si="112"/>
        <v>0</v>
      </c>
      <c r="G247" s="78">
        <f t="shared" si="112"/>
        <v>0</v>
      </c>
      <c r="H247" s="78">
        <f t="shared" si="112"/>
        <v>0</v>
      </c>
      <c r="I247" s="78">
        <f t="shared" si="112"/>
        <v>0</v>
      </c>
      <c r="J247" s="78">
        <f t="shared" si="112"/>
        <v>0</v>
      </c>
      <c r="K247" s="71"/>
      <c r="L247" s="71"/>
    </row>
    <row r="248" spans="1:12" ht="15.75" customHeight="1">
      <c r="A248" s="270">
        <f t="shared" si="96"/>
        <v>0</v>
      </c>
      <c r="B248" s="76" t="s">
        <v>585</v>
      </c>
      <c r="C248" s="77"/>
      <c r="D248" s="78">
        <f t="shared" ref="D248:J248" si="113">B83*$C$248*D$172</f>
        <v>0</v>
      </c>
      <c r="E248" s="78">
        <f t="shared" si="113"/>
        <v>0</v>
      </c>
      <c r="F248" s="78">
        <f t="shared" si="113"/>
        <v>0</v>
      </c>
      <c r="G248" s="78">
        <f t="shared" si="113"/>
        <v>0</v>
      </c>
      <c r="H248" s="78">
        <f t="shared" si="113"/>
        <v>0</v>
      </c>
      <c r="I248" s="78">
        <f t="shared" si="113"/>
        <v>0</v>
      </c>
      <c r="J248" s="78">
        <f t="shared" si="113"/>
        <v>0</v>
      </c>
      <c r="K248" s="71"/>
      <c r="L248" s="71"/>
    </row>
    <row r="249" spans="1:12" ht="15.75" customHeight="1">
      <c r="A249" s="270">
        <f t="shared" si="96"/>
        <v>0</v>
      </c>
      <c r="B249" s="76" t="s">
        <v>585</v>
      </c>
      <c r="C249" s="77"/>
      <c r="D249" s="78">
        <f t="shared" ref="D249:J249" si="114">B84*$C249*D$172</f>
        <v>0</v>
      </c>
      <c r="E249" s="78">
        <f t="shared" si="114"/>
        <v>0</v>
      </c>
      <c r="F249" s="78">
        <f t="shared" si="114"/>
        <v>0</v>
      </c>
      <c r="G249" s="78">
        <f t="shared" si="114"/>
        <v>0</v>
      </c>
      <c r="H249" s="78">
        <f t="shared" si="114"/>
        <v>0</v>
      </c>
      <c r="I249" s="78">
        <f t="shared" si="114"/>
        <v>0</v>
      </c>
      <c r="J249" s="78">
        <f t="shared" si="114"/>
        <v>0</v>
      </c>
      <c r="K249" s="71"/>
      <c r="L249" s="71"/>
    </row>
    <row r="250" spans="1:12" ht="15.75" customHeight="1">
      <c r="A250" s="270" t="str">
        <f t="shared" si="96"/>
        <v>Groundnut</v>
      </c>
      <c r="B250" s="76" t="s">
        <v>585</v>
      </c>
      <c r="C250" s="77"/>
      <c r="D250" s="78">
        <f t="shared" ref="D250:J250" si="115">B85*$C250*D$172</f>
        <v>0</v>
      </c>
      <c r="E250" s="78">
        <f t="shared" si="115"/>
        <v>0</v>
      </c>
      <c r="F250" s="78">
        <f t="shared" si="115"/>
        <v>0</v>
      </c>
      <c r="G250" s="78">
        <f t="shared" si="115"/>
        <v>0</v>
      </c>
      <c r="H250" s="78">
        <f t="shared" si="115"/>
        <v>0</v>
      </c>
      <c r="I250" s="78">
        <f t="shared" si="115"/>
        <v>0</v>
      </c>
      <c r="J250" s="78">
        <f t="shared" si="115"/>
        <v>0</v>
      </c>
      <c r="K250" s="71"/>
      <c r="L250" s="71"/>
    </row>
    <row r="251" spans="1:12" ht="15.75" customHeight="1">
      <c r="A251" s="270">
        <f t="shared" si="96"/>
        <v>0</v>
      </c>
      <c r="B251" s="76" t="s">
        <v>585</v>
      </c>
      <c r="C251" s="77"/>
      <c r="D251" s="78">
        <f t="shared" ref="D251:J251" si="116">B86*$C251*D$172</f>
        <v>0</v>
      </c>
      <c r="E251" s="78">
        <f t="shared" si="116"/>
        <v>0</v>
      </c>
      <c r="F251" s="78">
        <f t="shared" si="116"/>
        <v>0</v>
      </c>
      <c r="G251" s="78">
        <f t="shared" si="116"/>
        <v>0</v>
      </c>
      <c r="H251" s="78">
        <f t="shared" si="116"/>
        <v>0</v>
      </c>
      <c r="I251" s="78">
        <f t="shared" si="116"/>
        <v>0</v>
      </c>
      <c r="J251" s="78">
        <f t="shared" si="116"/>
        <v>0</v>
      </c>
      <c r="K251" s="71"/>
      <c r="L251" s="71"/>
    </row>
    <row r="252" spans="1:12" ht="15.75" customHeight="1">
      <c r="A252" s="270">
        <f t="shared" si="96"/>
        <v>0</v>
      </c>
      <c r="B252" s="76" t="s">
        <v>585</v>
      </c>
      <c r="C252" s="77"/>
      <c r="D252" s="78">
        <f t="shared" ref="D252:J252" si="117">B87*$C252*D$172</f>
        <v>0</v>
      </c>
      <c r="E252" s="78">
        <f t="shared" si="117"/>
        <v>0</v>
      </c>
      <c r="F252" s="78">
        <f t="shared" si="117"/>
        <v>0</v>
      </c>
      <c r="G252" s="78">
        <f t="shared" si="117"/>
        <v>0</v>
      </c>
      <c r="H252" s="78">
        <f t="shared" si="117"/>
        <v>0</v>
      </c>
      <c r="I252" s="78">
        <f t="shared" si="117"/>
        <v>0</v>
      </c>
      <c r="J252" s="78">
        <f t="shared" si="117"/>
        <v>0</v>
      </c>
      <c r="K252" s="71"/>
      <c r="L252" s="71"/>
    </row>
    <row r="253" spans="1:12" ht="15.75" customHeight="1">
      <c r="A253" s="270">
        <f t="shared" si="96"/>
        <v>0</v>
      </c>
      <c r="B253" s="76" t="s">
        <v>585</v>
      </c>
      <c r="C253" s="77"/>
      <c r="D253" s="78">
        <f t="shared" ref="D253:J253" si="118">B88*$C253*D$172</f>
        <v>0</v>
      </c>
      <c r="E253" s="78">
        <f t="shared" si="118"/>
        <v>0</v>
      </c>
      <c r="F253" s="78">
        <f t="shared" si="118"/>
        <v>0</v>
      </c>
      <c r="G253" s="78">
        <f t="shared" si="118"/>
        <v>0</v>
      </c>
      <c r="H253" s="78">
        <f t="shared" si="118"/>
        <v>0</v>
      </c>
      <c r="I253" s="78">
        <f t="shared" si="118"/>
        <v>0</v>
      </c>
      <c r="J253" s="78">
        <f t="shared" si="118"/>
        <v>0</v>
      </c>
      <c r="K253" s="71"/>
      <c r="L253" s="71"/>
    </row>
    <row r="254" spans="1:12" ht="15.75" customHeight="1">
      <c r="A254" s="76">
        <f t="shared" si="96"/>
        <v>0</v>
      </c>
      <c r="B254" s="76" t="s">
        <v>585</v>
      </c>
      <c r="C254" s="77"/>
      <c r="D254" s="78">
        <f t="shared" ref="D254:J254" si="119">B89*$C254*D$172</f>
        <v>0</v>
      </c>
      <c r="E254" s="78">
        <f t="shared" si="119"/>
        <v>0</v>
      </c>
      <c r="F254" s="78">
        <f t="shared" si="119"/>
        <v>0</v>
      </c>
      <c r="G254" s="78">
        <f t="shared" si="119"/>
        <v>0</v>
      </c>
      <c r="H254" s="78">
        <f t="shared" si="119"/>
        <v>0</v>
      </c>
      <c r="I254" s="78">
        <f t="shared" si="119"/>
        <v>0</v>
      </c>
      <c r="J254" s="78">
        <f t="shared" si="119"/>
        <v>0</v>
      </c>
      <c r="K254" s="71"/>
      <c r="L254" s="71"/>
    </row>
    <row r="255" spans="1:12" ht="15.75" customHeight="1">
      <c r="A255" s="76">
        <f t="shared" ref="A255:A274" si="120">A201</f>
        <v>0</v>
      </c>
      <c r="B255" s="76"/>
      <c r="C255" s="77"/>
      <c r="D255" s="78">
        <f t="shared" ref="D255:J255" si="121">B90*$C255*D$172</f>
        <v>0</v>
      </c>
      <c r="E255" s="78">
        <f t="shared" si="121"/>
        <v>0</v>
      </c>
      <c r="F255" s="78">
        <f t="shared" si="121"/>
        <v>0</v>
      </c>
      <c r="G255" s="78">
        <f t="shared" si="121"/>
        <v>0</v>
      </c>
      <c r="H255" s="78">
        <f t="shared" si="121"/>
        <v>0</v>
      </c>
      <c r="I255" s="78">
        <f t="shared" si="121"/>
        <v>0</v>
      </c>
      <c r="J255" s="78">
        <f t="shared" si="121"/>
        <v>0</v>
      </c>
      <c r="K255" s="71"/>
      <c r="L255" s="71"/>
    </row>
    <row r="256" spans="1:12" ht="15.75" customHeight="1">
      <c r="A256" s="266" t="str">
        <f t="shared" si="120"/>
        <v>Fruit  &amp; Vegetables Crop Production Details</v>
      </c>
      <c r="B256" s="76"/>
      <c r="C256" s="77"/>
      <c r="D256" s="78"/>
      <c r="E256" s="78"/>
      <c r="F256" s="78"/>
      <c r="G256" s="78"/>
      <c r="H256" s="78"/>
      <c r="I256" s="78"/>
      <c r="J256" s="78"/>
      <c r="K256" s="71"/>
      <c r="L256" s="71"/>
    </row>
    <row r="257" spans="1:12" ht="15.75" customHeight="1">
      <c r="A257" s="270" t="str">
        <f t="shared" si="120"/>
        <v>Onion</v>
      </c>
      <c r="B257" s="76" t="s">
        <v>585</v>
      </c>
      <c r="C257" s="77">
        <v>1800</v>
      </c>
      <c r="D257" s="78">
        <f t="shared" ref="D257:J257" si="122">B92*$C257*D$172</f>
        <v>0</v>
      </c>
      <c r="E257" s="78">
        <f t="shared" si="122"/>
        <v>0</v>
      </c>
      <c r="F257" s="78">
        <f t="shared" si="122"/>
        <v>0</v>
      </c>
      <c r="G257" s="78">
        <f t="shared" si="122"/>
        <v>0</v>
      </c>
      <c r="H257" s="78">
        <f t="shared" si="122"/>
        <v>0</v>
      </c>
      <c r="I257" s="78">
        <f t="shared" si="122"/>
        <v>0</v>
      </c>
      <c r="J257" s="78">
        <f t="shared" si="122"/>
        <v>0</v>
      </c>
      <c r="K257" s="71"/>
      <c r="L257" s="71"/>
    </row>
    <row r="258" spans="1:12" ht="15.75" customHeight="1">
      <c r="A258" s="270" t="str">
        <f t="shared" si="120"/>
        <v>Tomato</v>
      </c>
      <c r="B258" s="76" t="s">
        <v>585</v>
      </c>
      <c r="C258" s="77">
        <v>800</v>
      </c>
      <c r="D258" s="78">
        <f t="shared" ref="D258:J258" si="123">B93*$C258*D$172</f>
        <v>0</v>
      </c>
      <c r="E258" s="78">
        <f t="shared" si="123"/>
        <v>0</v>
      </c>
      <c r="F258" s="78">
        <f t="shared" si="123"/>
        <v>0</v>
      </c>
      <c r="G258" s="78">
        <f t="shared" si="123"/>
        <v>0</v>
      </c>
      <c r="H258" s="78">
        <f t="shared" si="123"/>
        <v>0</v>
      </c>
      <c r="I258" s="78">
        <f t="shared" si="123"/>
        <v>0</v>
      </c>
      <c r="J258" s="78">
        <f t="shared" si="123"/>
        <v>0</v>
      </c>
      <c r="K258" s="71"/>
      <c r="L258" s="71"/>
    </row>
    <row r="259" spans="1:12" ht="15.75" customHeight="1">
      <c r="A259" s="270" t="str">
        <f t="shared" si="120"/>
        <v>Okra</v>
      </c>
      <c r="B259" s="76" t="s">
        <v>585</v>
      </c>
      <c r="C259" s="77">
        <v>1300</v>
      </c>
      <c r="D259" s="78">
        <f t="shared" ref="D259:J259" si="124">B94*$C259*D$172</f>
        <v>0</v>
      </c>
      <c r="E259" s="78">
        <f t="shared" si="124"/>
        <v>0</v>
      </c>
      <c r="F259" s="78">
        <f t="shared" si="124"/>
        <v>0</v>
      </c>
      <c r="G259" s="78">
        <f t="shared" si="124"/>
        <v>0</v>
      </c>
      <c r="H259" s="78">
        <f t="shared" si="124"/>
        <v>0</v>
      </c>
      <c r="I259" s="78">
        <f t="shared" si="124"/>
        <v>0</v>
      </c>
      <c r="J259" s="78">
        <f t="shared" si="124"/>
        <v>0</v>
      </c>
      <c r="K259" s="71"/>
      <c r="L259" s="71"/>
    </row>
    <row r="260" spans="1:12" ht="15.75" customHeight="1">
      <c r="A260" s="270" t="str">
        <f t="shared" si="120"/>
        <v>Chilli</v>
      </c>
      <c r="B260" s="76" t="s">
        <v>585</v>
      </c>
      <c r="C260" s="77">
        <v>2800</v>
      </c>
      <c r="D260" s="78">
        <f t="shared" ref="D260:J260" si="125">B95*$C260*D$172</f>
        <v>0</v>
      </c>
      <c r="E260" s="78">
        <f t="shared" si="125"/>
        <v>0</v>
      </c>
      <c r="F260" s="78">
        <f t="shared" si="125"/>
        <v>0</v>
      </c>
      <c r="G260" s="78">
        <f t="shared" si="125"/>
        <v>0</v>
      </c>
      <c r="H260" s="78">
        <f t="shared" si="125"/>
        <v>0</v>
      </c>
      <c r="I260" s="78">
        <f t="shared" si="125"/>
        <v>0</v>
      </c>
      <c r="J260" s="78">
        <f t="shared" si="125"/>
        <v>0</v>
      </c>
      <c r="K260" s="71"/>
      <c r="L260" s="71"/>
    </row>
    <row r="261" spans="1:12" ht="15.75" customHeight="1">
      <c r="A261" s="270" t="str">
        <f t="shared" si="120"/>
        <v>Potato</v>
      </c>
      <c r="B261" s="76" t="s">
        <v>585</v>
      </c>
      <c r="C261" s="77">
        <v>1300</v>
      </c>
      <c r="D261" s="78">
        <f t="shared" ref="D261:J261" si="126">B96*$C261*D$172</f>
        <v>0</v>
      </c>
      <c r="E261" s="78">
        <f t="shared" si="126"/>
        <v>0</v>
      </c>
      <c r="F261" s="78">
        <f t="shared" si="126"/>
        <v>0</v>
      </c>
      <c r="G261" s="78">
        <f t="shared" si="126"/>
        <v>0</v>
      </c>
      <c r="H261" s="78">
        <f t="shared" si="126"/>
        <v>0</v>
      </c>
      <c r="I261" s="78">
        <f t="shared" si="126"/>
        <v>0</v>
      </c>
      <c r="J261" s="78">
        <f t="shared" si="126"/>
        <v>0</v>
      </c>
      <c r="K261" s="71"/>
      <c r="L261" s="71"/>
    </row>
    <row r="262" spans="1:12" ht="15.75" customHeight="1">
      <c r="A262" s="270">
        <f t="shared" si="120"/>
        <v>0</v>
      </c>
      <c r="B262" s="76" t="s">
        <v>585</v>
      </c>
      <c r="C262" s="77"/>
      <c r="D262" s="78">
        <f t="shared" ref="D262:J262" si="127">B97*$C262*D$172</f>
        <v>0</v>
      </c>
      <c r="E262" s="78">
        <f t="shared" si="127"/>
        <v>0</v>
      </c>
      <c r="F262" s="78">
        <f t="shared" si="127"/>
        <v>0</v>
      </c>
      <c r="G262" s="78">
        <f t="shared" si="127"/>
        <v>0</v>
      </c>
      <c r="H262" s="78">
        <f t="shared" si="127"/>
        <v>0</v>
      </c>
      <c r="I262" s="78">
        <f t="shared" si="127"/>
        <v>0</v>
      </c>
      <c r="J262" s="78">
        <f t="shared" si="127"/>
        <v>0</v>
      </c>
      <c r="K262" s="71"/>
      <c r="L262" s="71"/>
    </row>
    <row r="263" spans="1:12" ht="15.75" customHeight="1">
      <c r="A263" s="270">
        <f t="shared" si="120"/>
        <v>0</v>
      </c>
      <c r="B263" s="76" t="s">
        <v>585</v>
      </c>
      <c r="C263" s="77"/>
      <c r="D263" s="78">
        <f t="shared" ref="D263:J263" si="128">B98*$C263*D$172</f>
        <v>0</v>
      </c>
      <c r="E263" s="78">
        <f t="shared" si="128"/>
        <v>0</v>
      </c>
      <c r="F263" s="78">
        <f t="shared" si="128"/>
        <v>0</v>
      </c>
      <c r="G263" s="78">
        <f t="shared" si="128"/>
        <v>0</v>
      </c>
      <c r="H263" s="78">
        <f t="shared" si="128"/>
        <v>0</v>
      </c>
      <c r="I263" s="78">
        <f t="shared" si="128"/>
        <v>0</v>
      </c>
      <c r="J263" s="78">
        <f t="shared" si="128"/>
        <v>0</v>
      </c>
      <c r="K263" s="71"/>
      <c r="L263" s="71"/>
    </row>
    <row r="264" spans="1:12" ht="15.75" customHeight="1">
      <c r="A264" s="270">
        <f t="shared" si="120"/>
        <v>0</v>
      </c>
      <c r="B264" s="76" t="s">
        <v>585</v>
      </c>
      <c r="C264" s="77"/>
      <c r="D264" s="78">
        <f t="shared" ref="D264:J264" si="129">B99*$C264*D$172</f>
        <v>0</v>
      </c>
      <c r="E264" s="78">
        <f t="shared" si="129"/>
        <v>0</v>
      </c>
      <c r="F264" s="78">
        <f t="shared" si="129"/>
        <v>0</v>
      </c>
      <c r="G264" s="78">
        <f t="shared" si="129"/>
        <v>0</v>
      </c>
      <c r="H264" s="78">
        <f t="shared" si="129"/>
        <v>0</v>
      </c>
      <c r="I264" s="78">
        <f t="shared" si="129"/>
        <v>0</v>
      </c>
      <c r="J264" s="78">
        <f t="shared" si="129"/>
        <v>0</v>
      </c>
      <c r="K264" s="71"/>
      <c r="L264" s="71"/>
    </row>
    <row r="265" spans="1:12" ht="15.75" customHeight="1">
      <c r="A265" s="270">
        <f t="shared" si="120"/>
        <v>0</v>
      </c>
      <c r="B265" s="76" t="s">
        <v>585</v>
      </c>
      <c r="C265" s="77"/>
      <c r="D265" s="78">
        <f t="shared" ref="D265:J265" si="130">B100*$C265*D$172</f>
        <v>0</v>
      </c>
      <c r="E265" s="78">
        <f t="shared" si="130"/>
        <v>0</v>
      </c>
      <c r="F265" s="78">
        <f t="shared" si="130"/>
        <v>0</v>
      </c>
      <c r="G265" s="78">
        <f t="shared" si="130"/>
        <v>0</v>
      </c>
      <c r="H265" s="78">
        <f t="shared" si="130"/>
        <v>0</v>
      </c>
      <c r="I265" s="78">
        <f t="shared" si="130"/>
        <v>0</v>
      </c>
      <c r="J265" s="78">
        <f t="shared" si="130"/>
        <v>0</v>
      </c>
      <c r="K265" s="71"/>
      <c r="L265" s="71"/>
    </row>
    <row r="266" spans="1:12" ht="15.75" customHeight="1">
      <c r="A266" s="270" t="str">
        <f t="shared" si="120"/>
        <v>Onion</v>
      </c>
      <c r="B266" s="76" t="s">
        <v>585</v>
      </c>
      <c r="C266" s="77">
        <v>1800</v>
      </c>
      <c r="D266" s="78">
        <f t="shared" ref="D266:J266" si="131">B101*$C266*D$172</f>
        <v>0</v>
      </c>
      <c r="E266" s="78">
        <f t="shared" si="131"/>
        <v>0</v>
      </c>
      <c r="F266" s="78">
        <f t="shared" si="131"/>
        <v>0</v>
      </c>
      <c r="G266" s="78">
        <f t="shared" si="131"/>
        <v>0</v>
      </c>
      <c r="H266" s="78">
        <f t="shared" si="131"/>
        <v>0</v>
      </c>
      <c r="I266" s="78">
        <f t="shared" si="131"/>
        <v>0</v>
      </c>
      <c r="J266" s="78">
        <f t="shared" si="131"/>
        <v>0</v>
      </c>
      <c r="K266" s="71"/>
      <c r="L266" s="71"/>
    </row>
    <row r="267" spans="1:12" ht="15.75" customHeight="1">
      <c r="A267" s="270" t="str">
        <f t="shared" si="120"/>
        <v>Tomato</v>
      </c>
      <c r="B267" s="76" t="s">
        <v>585</v>
      </c>
      <c r="C267" s="77">
        <v>800</v>
      </c>
      <c r="D267" s="78">
        <f t="shared" ref="D267:J267" si="132">B102*$C267*D$172</f>
        <v>0</v>
      </c>
      <c r="E267" s="78">
        <f t="shared" si="132"/>
        <v>0</v>
      </c>
      <c r="F267" s="78">
        <f t="shared" si="132"/>
        <v>0</v>
      </c>
      <c r="G267" s="78">
        <f t="shared" si="132"/>
        <v>0</v>
      </c>
      <c r="H267" s="78">
        <f t="shared" si="132"/>
        <v>0</v>
      </c>
      <c r="I267" s="78">
        <f t="shared" si="132"/>
        <v>0</v>
      </c>
      <c r="J267" s="78">
        <f t="shared" si="132"/>
        <v>0</v>
      </c>
      <c r="K267" s="71"/>
      <c r="L267" s="71"/>
    </row>
    <row r="268" spans="1:12" ht="15.75" customHeight="1">
      <c r="A268" s="270" t="str">
        <f t="shared" si="120"/>
        <v>Okra</v>
      </c>
      <c r="B268" s="76" t="s">
        <v>585</v>
      </c>
      <c r="C268" s="77">
        <v>1300</v>
      </c>
      <c r="D268" s="78">
        <f t="shared" ref="D268:J268" si="133">B103*$C268*D$172</f>
        <v>0</v>
      </c>
      <c r="E268" s="78">
        <f t="shared" si="133"/>
        <v>0</v>
      </c>
      <c r="F268" s="78">
        <f t="shared" si="133"/>
        <v>0</v>
      </c>
      <c r="G268" s="78">
        <f t="shared" si="133"/>
        <v>0</v>
      </c>
      <c r="H268" s="78">
        <f t="shared" si="133"/>
        <v>0</v>
      </c>
      <c r="I268" s="78">
        <f t="shared" si="133"/>
        <v>0</v>
      </c>
      <c r="J268" s="78">
        <f t="shared" si="133"/>
        <v>0</v>
      </c>
      <c r="K268" s="71"/>
      <c r="L268" s="71"/>
    </row>
    <row r="269" spans="1:12" ht="15.75" customHeight="1">
      <c r="A269" s="270" t="str">
        <f t="shared" si="120"/>
        <v>Chilli</v>
      </c>
      <c r="B269" s="76" t="s">
        <v>585</v>
      </c>
      <c r="C269" s="77">
        <v>2800</v>
      </c>
      <c r="D269" s="78">
        <f t="shared" ref="D269:J269" si="134">B104*$C269*D$172</f>
        <v>0</v>
      </c>
      <c r="E269" s="78">
        <f t="shared" si="134"/>
        <v>0</v>
      </c>
      <c r="F269" s="78">
        <f t="shared" si="134"/>
        <v>0</v>
      </c>
      <c r="G269" s="78">
        <f t="shared" si="134"/>
        <v>0</v>
      </c>
      <c r="H269" s="78">
        <f t="shared" si="134"/>
        <v>0</v>
      </c>
      <c r="I269" s="78">
        <f t="shared" si="134"/>
        <v>0</v>
      </c>
      <c r="J269" s="78">
        <f t="shared" si="134"/>
        <v>0</v>
      </c>
      <c r="K269" s="71"/>
      <c r="L269" s="71"/>
    </row>
    <row r="270" spans="1:12" ht="15.75" customHeight="1">
      <c r="A270" s="270" t="str">
        <f t="shared" si="120"/>
        <v>Brinjal</v>
      </c>
      <c r="B270" s="76" t="s">
        <v>585</v>
      </c>
      <c r="C270" s="77">
        <v>1800</v>
      </c>
      <c r="D270" s="78">
        <f t="shared" ref="D270:J270" si="135">B105*$C270*D$172</f>
        <v>0</v>
      </c>
      <c r="E270" s="78">
        <f t="shared" si="135"/>
        <v>0</v>
      </c>
      <c r="F270" s="78">
        <f t="shared" si="135"/>
        <v>0</v>
      </c>
      <c r="G270" s="78">
        <f t="shared" si="135"/>
        <v>0</v>
      </c>
      <c r="H270" s="78">
        <f t="shared" si="135"/>
        <v>0</v>
      </c>
      <c r="I270" s="78">
        <f t="shared" si="135"/>
        <v>0</v>
      </c>
      <c r="J270" s="78">
        <f t="shared" si="135"/>
        <v>0</v>
      </c>
      <c r="K270" s="71"/>
      <c r="L270" s="71"/>
    </row>
    <row r="271" spans="1:12" ht="15.75" customHeight="1">
      <c r="A271" s="270">
        <f t="shared" si="120"/>
        <v>0</v>
      </c>
      <c r="B271" s="76" t="s">
        <v>585</v>
      </c>
      <c r="C271" s="77"/>
      <c r="D271" s="78">
        <f t="shared" ref="D271:J271" si="136">B106*$C271*D$172</f>
        <v>0</v>
      </c>
      <c r="E271" s="78">
        <f t="shared" si="136"/>
        <v>0</v>
      </c>
      <c r="F271" s="78">
        <f t="shared" si="136"/>
        <v>0</v>
      </c>
      <c r="G271" s="78">
        <f t="shared" si="136"/>
        <v>0</v>
      </c>
      <c r="H271" s="78">
        <f t="shared" si="136"/>
        <v>0</v>
      </c>
      <c r="I271" s="78">
        <f t="shared" si="136"/>
        <v>0</v>
      </c>
      <c r="J271" s="78">
        <f t="shared" si="136"/>
        <v>0</v>
      </c>
      <c r="K271" s="71"/>
      <c r="L271" s="71"/>
    </row>
    <row r="272" spans="1:12" ht="15.75" customHeight="1">
      <c r="A272" s="270">
        <f t="shared" si="120"/>
        <v>0</v>
      </c>
      <c r="B272" s="76" t="s">
        <v>585</v>
      </c>
      <c r="C272" s="77"/>
      <c r="D272" s="78">
        <f t="shared" ref="D272:J272" si="137">B107*$C272*D$172</f>
        <v>0</v>
      </c>
      <c r="E272" s="78">
        <f t="shared" si="137"/>
        <v>0</v>
      </c>
      <c r="F272" s="78">
        <f t="shared" si="137"/>
        <v>0</v>
      </c>
      <c r="G272" s="78">
        <f t="shared" si="137"/>
        <v>0</v>
      </c>
      <c r="H272" s="78">
        <f t="shared" si="137"/>
        <v>0</v>
      </c>
      <c r="I272" s="78">
        <f t="shared" si="137"/>
        <v>0</v>
      </c>
      <c r="J272" s="78">
        <f t="shared" si="137"/>
        <v>0</v>
      </c>
      <c r="K272" s="71"/>
      <c r="L272" s="71"/>
    </row>
    <row r="273" spans="1:12" ht="15.75" customHeight="1">
      <c r="A273" s="270">
        <f t="shared" si="120"/>
        <v>0</v>
      </c>
      <c r="B273" s="76" t="s">
        <v>585</v>
      </c>
      <c r="C273" s="77"/>
      <c r="D273" s="78">
        <f t="shared" ref="D273:J273" si="138">B108*$C273*D$172</f>
        <v>0</v>
      </c>
      <c r="E273" s="78">
        <f t="shared" si="138"/>
        <v>0</v>
      </c>
      <c r="F273" s="78">
        <f t="shared" si="138"/>
        <v>0</v>
      </c>
      <c r="G273" s="78">
        <f t="shared" si="138"/>
        <v>0</v>
      </c>
      <c r="H273" s="78">
        <f t="shared" si="138"/>
        <v>0</v>
      </c>
      <c r="I273" s="78">
        <f t="shared" si="138"/>
        <v>0</v>
      </c>
      <c r="J273" s="78">
        <f t="shared" si="138"/>
        <v>0</v>
      </c>
      <c r="K273" s="71"/>
      <c r="L273" s="71"/>
    </row>
    <row r="274" spans="1:12" ht="15.75" customHeight="1">
      <c r="A274" s="270">
        <f t="shared" si="120"/>
        <v>0</v>
      </c>
      <c r="B274" s="76" t="s">
        <v>585</v>
      </c>
      <c r="C274" s="77"/>
      <c r="D274" s="78">
        <f t="shared" ref="D274:J274" si="139">B109*$C274*D$172</f>
        <v>0</v>
      </c>
      <c r="E274" s="78">
        <f t="shared" si="139"/>
        <v>0</v>
      </c>
      <c r="F274" s="78">
        <f t="shared" si="139"/>
        <v>0</v>
      </c>
      <c r="G274" s="78">
        <f t="shared" si="139"/>
        <v>0</v>
      </c>
      <c r="H274" s="78">
        <f t="shared" si="139"/>
        <v>0</v>
      </c>
      <c r="I274" s="78">
        <f t="shared" si="139"/>
        <v>0</v>
      </c>
      <c r="J274" s="78">
        <f t="shared" si="139"/>
        <v>0</v>
      </c>
      <c r="K274" s="71"/>
      <c r="L274" s="71"/>
    </row>
    <row r="275" spans="1:12" ht="15.75" customHeight="1">
      <c r="A275" s="270" t="str">
        <f t="shared" ref="A275:A279" si="140">A224</f>
        <v>Pomegranate</v>
      </c>
      <c r="B275" s="76" t="s">
        <v>585</v>
      </c>
      <c r="C275" s="77">
        <v>4700</v>
      </c>
      <c r="D275" s="78">
        <f t="shared" ref="D275:J275" si="141">B113*$C275*D$172</f>
        <v>0</v>
      </c>
      <c r="E275" s="78">
        <f t="shared" si="141"/>
        <v>0</v>
      </c>
      <c r="F275" s="78">
        <f t="shared" si="141"/>
        <v>0</v>
      </c>
      <c r="G275" s="78">
        <f t="shared" si="141"/>
        <v>0</v>
      </c>
      <c r="H275" s="78">
        <f t="shared" si="141"/>
        <v>0</v>
      </c>
      <c r="I275" s="78">
        <f t="shared" si="141"/>
        <v>0</v>
      </c>
      <c r="J275" s="78">
        <f t="shared" si="141"/>
        <v>0</v>
      </c>
      <c r="K275" s="71"/>
      <c r="L275" s="71"/>
    </row>
    <row r="276" spans="1:12" ht="15.75" customHeight="1">
      <c r="A276" s="270" t="str">
        <f t="shared" si="140"/>
        <v>Custard Apple</v>
      </c>
      <c r="B276" s="76" t="s">
        <v>585</v>
      </c>
      <c r="C276" s="77"/>
      <c r="D276" s="78">
        <f t="shared" ref="D276:J276" si="142">B114*$C276*D$172</f>
        <v>0</v>
      </c>
      <c r="E276" s="78">
        <f t="shared" si="142"/>
        <v>0</v>
      </c>
      <c r="F276" s="78">
        <f t="shared" si="142"/>
        <v>0</v>
      </c>
      <c r="G276" s="78">
        <f t="shared" si="142"/>
        <v>0</v>
      </c>
      <c r="H276" s="78">
        <f t="shared" si="142"/>
        <v>0</v>
      </c>
      <c r="I276" s="78">
        <f t="shared" si="142"/>
        <v>0</v>
      </c>
      <c r="J276" s="78">
        <f t="shared" si="142"/>
        <v>0</v>
      </c>
      <c r="K276" s="71"/>
      <c r="L276" s="71"/>
    </row>
    <row r="277" spans="1:12" ht="15.75" customHeight="1">
      <c r="A277" s="270" t="str">
        <f t="shared" si="140"/>
        <v>Guava</v>
      </c>
      <c r="B277" s="76" t="s">
        <v>585</v>
      </c>
      <c r="C277" s="77"/>
      <c r="D277" s="78">
        <f t="shared" ref="D277:J277" si="143">B115*$C277*D$172</f>
        <v>0</v>
      </c>
      <c r="E277" s="78">
        <f t="shared" si="143"/>
        <v>0</v>
      </c>
      <c r="F277" s="78">
        <f t="shared" si="143"/>
        <v>0</v>
      </c>
      <c r="G277" s="78">
        <f t="shared" si="143"/>
        <v>0</v>
      </c>
      <c r="H277" s="78">
        <f t="shared" si="143"/>
        <v>0</v>
      </c>
      <c r="I277" s="78">
        <f t="shared" si="143"/>
        <v>0</v>
      </c>
      <c r="J277" s="78">
        <f t="shared" si="143"/>
        <v>0</v>
      </c>
      <c r="K277" s="71"/>
      <c r="L277" s="71"/>
    </row>
    <row r="278" spans="1:12" ht="15.75" customHeight="1">
      <c r="A278" s="270" t="str">
        <f t="shared" si="140"/>
        <v>Citrus</v>
      </c>
      <c r="B278" s="76" t="s">
        <v>585</v>
      </c>
      <c r="C278" s="77"/>
      <c r="D278" s="78">
        <f t="shared" ref="D278:J278" si="144">B116*$C278*D$172</f>
        <v>0</v>
      </c>
      <c r="E278" s="78">
        <f t="shared" si="144"/>
        <v>0</v>
      </c>
      <c r="F278" s="78">
        <f t="shared" si="144"/>
        <v>0</v>
      </c>
      <c r="G278" s="78">
        <f t="shared" si="144"/>
        <v>0</v>
      </c>
      <c r="H278" s="78">
        <f t="shared" si="144"/>
        <v>0</v>
      </c>
      <c r="I278" s="78">
        <f t="shared" si="144"/>
        <v>0</v>
      </c>
      <c r="J278" s="78">
        <f t="shared" si="144"/>
        <v>0</v>
      </c>
      <c r="K278" s="71"/>
      <c r="L278" s="71"/>
    </row>
    <row r="279" spans="1:12" ht="15.75" customHeight="1">
      <c r="A279" s="76">
        <f t="shared" si="140"/>
        <v>0</v>
      </c>
      <c r="B279" s="76" t="s">
        <v>585</v>
      </c>
      <c r="C279" s="77"/>
      <c r="D279" s="78">
        <f t="shared" ref="D279:J279" si="145">B117*$C279*D$172</f>
        <v>0</v>
      </c>
      <c r="E279" s="78">
        <f t="shared" si="145"/>
        <v>0</v>
      </c>
      <c r="F279" s="78">
        <f t="shared" si="145"/>
        <v>0</v>
      </c>
      <c r="G279" s="78">
        <f t="shared" si="145"/>
        <v>0</v>
      </c>
      <c r="H279" s="78">
        <f t="shared" si="145"/>
        <v>0</v>
      </c>
      <c r="I279" s="78">
        <f t="shared" si="145"/>
        <v>0</v>
      </c>
      <c r="J279" s="78">
        <f t="shared" si="145"/>
        <v>0</v>
      </c>
      <c r="K279" s="71"/>
      <c r="L279" s="71"/>
    </row>
    <row r="280" spans="1:12" ht="15.75" customHeight="1">
      <c r="A280" s="76">
        <f>A230</f>
        <v>0</v>
      </c>
      <c r="B280" s="76"/>
      <c r="C280" s="77"/>
      <c r="D280" s="78">
        <f t="shared" ref="D280:J280" si="146">B118*$C280*D$172</f>
        <v>0</v>
      </c>
      <c r="E280" s="78">
        <f t="shared" si="146"/>
        <v>0</v>
      </c>
      <c r="F280" s="78">
        <f t="shared" si="146"/>
        <v>0</v>
      </c>
      <c r="G280" s="78">
        <f t="shared" si="146"/>
        <v>0</v>
      </c>
      <c r="H280" s="78">
        <f t="shared" si="146"/>
        <v>0</v>
      </c>
      <c r="I280" s="78">
        <f t="shared" si="146"/>
        <v>0</v>
      </c>
      <c r="J280" s="78">
        <f t="shared" si="146"/>
        <v>0</v>
      </c>
      <c r="K280" s="71"/>
      <c r="L280" s="71"/>
    </row>
    <row r="281" spans="1:12" ht="15.75" customHeight="1">
      <c r="A281" s="76"/>
      <c r="B281" s="76"/>
      <c r="C281" s="77"/>
      <c r="D281" s="78"/>
      <c r="E281" s="78"/>
      <c r="F281" s="78"/>
      <c r="G281" s="78"/>
      <c r="H281" s="78"/>
      <c r="I281" s="78"/>
      <c r="J281" s="78"/>
      <c r="K281" s="71"/>
      <c r="L281" s="71"/>
    </row>
    <row r="282" spans="1:12" ht="15.75" customHeight="1">
      <c r="A282" s="76" t="s">
        <v>588</v>
      </c>
      <c r="B282" s="50">
        <v>5</v>
      </c>
      <c r="C282" s="50">
        <v>300</v>
      </c>
      <c r="D282" s="78">
        <f t="shared" ref="D282:J282" si="147">B10*$B$282*$C$282*D172</f>
        <v>7087.5</v>
      </c>
      <c r="E282" s="78">
        <f t="shared" si="147"/>
        <v>7441.875</v>
      </c>
      <c r="F282" s="78">
        <f t="shared" si="147"/>
        <v>7813.96875</v>
      </c>
      <c r="G282" s="78">
        <f t="shared" si="147"/>
        <v>8204.6671875000011</v>
      </c>
      <c r="H282" s="78">
        <f t="shared" si="147"/>
        <v>8614.900546875002</v>
      </c>
      <c r="I282" s="78">
        <f t="shared" si="147"/>
        <v>9045.6455742187518</v>
      </c>
      <c r="J282" s="78">
        <f t="shared" si="147"/>
        <v>9497.9278529296898</v>
      </c>
      <c r="K282" s="71"/>
      <c r="L282" s="71"/>
    </row>
    <row r="283" spans="1:12" ht="15.75" customHeight="1">
      <c r="A283" s="76" t="s">
        <v>589</v>
      </c>
      <c r="B283" s="76">
        <f>'2.Capex Details'!H55*0.746*8</f>
        <v>176.05600000000001</v>
      </c>
      <c r="C283" s="50">
        <v>8</v>
      </c>
      <c r="D283" s="78">
        <f t="shared" ref="D283:J283" si="148">$B$283*$C$283*D172*B10</f>
        <v>6654.9168</v>
      </c>
      <c r="E283" s="78">
        <f t="shared" si="148"/>
        <v>6987.6626400000005</v>
      </c>
      <c r="F283" s="78">
        <f t="shared" si="148"/>
        <v>7337.0457719999995</v>
      </c>
      <c r="G283" s="78">
        <f t="shared" si="148"/>
        <v>7703.8980606000005</v>
      </c>
      <c r="H283" s="78">
        <f t="shared" si="148"/>
        <v>8089.0929636300016</v>
      </c>
      <c r="I283" s="78">
        <f t="shared" si="148"/>
        <v>8493.5476118115021</v>
      </c>
      <c r="J283" s="78">
        <f t="shared" si="148"/>
        <v>8918.224992402078</v>
      </c>
      <c r="K283" s="71"/>
      <c r="L283" s="71"/>
    </row>
    <row r="284" spans="1:12" ht="15.75" customHeight="1">
      <c r="A284" s="76" t="s">
        <v>590</v>
      </c>
      <c r="B284" s="76"/>
      <c r="C284" s="50">
        <v>30</v>
      </c>
      <c r="D284" s="78">
        <f t="shared" ref="D284:J284" si="149">SUM(B120:B141)*$C$284*D172</f>
        <v>109997.99999999999</v>
      </c>
      <c r="E284" s="78">
        <f t="shared" si="149"/>
        <v>115497.9</v>
      </c>
      <c r="F284" s="78">
        <f t="shared" si="149"/>
        <v>121272.79499999998</v>
      </c>
      <c r="G284" s="78">
        <f t="shared" si="149"/>
        <v>127336.43475</v>
      </c>
      <c r="H284" s="78">
        <f t="shared" si="149"/>
        <v>133703.25648750001</v>
      </c>
      <c r="I284" s="78">
        <f t="shared" si="149"/>
        <v>140388.41931187501</v>
      </c>
      <c r="J284" s="78">
        <f t="shared" si="149"/>
        <v>147407.84027746879</v>
      </c>
      <c r="K284" s="71"/>
      <c r="L284" s="71"/>
    </row>
    <row r="285" spans="1:12" ht="15.75" customHeight="1">
      <c r="A285" s="76" t="s">
        <v>591</v>
      </c>
      <c r="B285" s="76"/>
      <c r="C285" s="50">
        <v>30</v>
      </c>
      <c r="D285" s="78">
        <f t="shared" ref="D285:J285" si="150">SUM(B120:B141)*$C$285*D172</f>
        <v>109997.99999999999</v>
      </c>
      <c r="E285" s="78">
        <f t="shared" si="150"/>
        <v>115497.9</v>
      </c>
      <c r="F285" s="78">
        <f t="shared" si="150"/>
        <v>121272.79499999998</v>
      </c>
      <c r="G285" s="78">
        <f t="shared" si="150"/>
        <v>127336.43475</v>
      </c>
      <c r="H285" s="78">
        <f t="shared" si="150"/>
        <v>133703.25648750001</v>
      </c>
      <c r="I285" s="78">
        <f t="shared" si="150"/>
        <v>140388.41931187501</v>
      </c>
      <c r="J285" s="78">
        <f t="shared" si="150"/>
        <v>147407.84027746879</v>
      </c>
      <c r="K285" s="71"/>
      <c r="L285" s="71"/>
    </row>
    <row r="286" spans="1:12" ht="15.75" customHeight="1">
      <c r="A286" s="138"/>
      <c r="B286" s="138"/>
      <c r="C286" s="138"/>
      <c r="D286" s="138"/>
      <c r="E286" s="138"/>
      <c r="F286" s="138"/>
      <c r="G286" s="138"/>
      <c r="H286" s="138"/>
      <c r="I286" s="138"/>
      <c r="J286" s="138"/>
      <c r="K286" s="71"/>
      <c r="L286" s="71"/>
    </row>
    <row r="287" spans="1:12" ht="15.75" customHeight="1">
      <c r="A287" s="138"/>
      <c r="B287" s="138"/>
      <c r="C287" s="138"/>
      <c r="D287" s="138"/>
      <c r="E287" s="138"/>
      <c r="F287" s="138"/>
      <c r="G287" s="138"/>
      <c r="H287" s="138"/>
      <c r="I287" s="138"/>
      <c r="J287" s="138"/>
      <c r="K287" s="71"/>
      <c r="L287" s="71"/>
    </row>
    <row r="288" spans="1:12" ht="15.75" customHeight="1">
      <c r="A288" s="138"/>
      <c r="B288" s="138"/>
      <c r="C288" s="138"/>
      <c r="D288" s="138"/>
      <c r="E288" s="138"/>
      <c r="F288" s="138"/>
      <c r="G288" s="138"/>
      <c r="H288" s="138"/>
      <c r="I288" s="138"/>
      <c r="J288" s="138"/>
      <c r="K288" s="71"/>
      <c r="L288" s="71"/>
    </row>
    <row r="289" spans="1:20" ht="15.75" customHeight="1">
      <c r="A289" s="76" t="s">
        <v>592</v>
      </c>
      <c r="B289" s="76"/>
      <c r="C289" s="76"/>
      <c r="D289" s="270"/>
      <c r="E289" s="270">
        <f>'5.Closing Stock &amp; W Capital'!F7</f>
        <v>1423687.0208399999</v>
      </c>
      <c r="F289" s="270">
        <f>'5.Closing Stock &amp; W Capital'!G7</f>
        <v>1494871.371882</v>
      </c>
      <c r="G289" s="270">
        <f>'5.Closing Stock &amp; W Capital'!H7</f>
        <v>1569614.9404761</v>
      </c>
      <c r="H289" s="270">
        <f>'5.Closing Stock &amp; W Capital'!I7</f>
        <v>1648095.687499905</v>
      </c>
      <c r="I289" s="270">
        <f>'5.Closing Stock &amp; W Capital'!J7</f>
        <v>1730500.4718749006</v>
      </c>
      <c r="J289" s="270">
        <f>'5.Closing Stock &amp; W Capital'!K7</f>
        <v>1817025.4954686456</v>
      </c>
      <c r="K289" s="71"/>
      <c r="L289" s="71"/>
    </row>
    <row r="290" spans="1:20" ht="15.75" customHeight="1">
      <c r="A290" s="76" t="s">
        <v>593</v>
      </c>
      <c r="B290" s="76"/>
      <c r="C290" s="270"/>
      <c r="D290" s="270">
        <f>'5.Closing Stock &amp; W Capital'!E16</f>
        <v>1423687.0208399999</v>
      </c>
      <c r="E290" s="270">
        <f>'5.Closing Stock &amp; W Capital'!F16</f>
        <v>1494871.371882</v>
      </c>
      <c r="F290" s="270">
        <f>'5.Closing Stock &amp; W Capital'!G16</f>
        <v>1569614.9404761</v>
      </c>
      <c r="G290" s="270">
        <f>'5.Closing Stock &amp; W Capital'!H16</f>
        <v>1648095.687499905</v>
      </c>
      <c r="H290" s="270">
        <f>'5.Closing Stock &amp; W Capital'!I16</f>
        <v>1730500.4718749006</v>
      </c>
      <c r="I290" s="270">
        <f>'5.Closing Stock &amp; W Capital'!J16</f>
        <v>1817025.4954686456</v>
      </c>
      <c r="J290" s="270">
        <f>'5.Closing Stock &amp; W Capital'!K16</f>
        <v>1907876.770242078</v>
      </c>
      <c r="K290" s="71"/>
      <c r="L290" s="71"/>
    </row>
    <row r="291" spans="1:20" ht="15.75" customHeight="1">
      <c r="A291" s="76"/>
      <c r="B291" s="76"/>
      <c r="C291" s="78"/>
      <c r="D291" s="270"/>
      <c r="E291" s="270"/>
      <c r="F291" s="270"/>
      <c r="G291" s="270"/>
      <c r="H291" s="270"/>
      <c r="I291" s="270"/>
      <c r="J291" s="270"/>
      <c r="K291" s="71"/>
      <c r="L291" s="71"/>
      <c r="M291" s="71"/>
      <c r="N291" s="71"/>
      <c r="O291" s="71"/>
      <c r="P291" s="71"/>
      <c r="Q291" s="71"/>
      <c r="R291" s="71"/>
      <c r="S291" s="71"/>
      <c r="T291" s="71"/>
    </row>
    <row r="292" spans="1:20" ht="15.75" customHeight="1">
      <c r="A292" s="79" t="s">
        <v>356</v>
      </c>
      <c r="B292" s="79"/>
      <c r="C292" s="79"/>
      <c r="D292" s="80">
        <f t="shared" ref="D292:J292" si="151">SUM(D233:D289)-D290</f>
        <v>27160051.395959996</v>
      </c>
      <c r="E292" s="80">
        <f t="shared" si="151"/>
        <v>29941740.986597996</v>
      </c>
      <c r="F292" s="80">
        <f t="shared" si="151"/>
        <v>31438828.035927899</v>
      </c>
      <c r="G292" s="80">
        <f t="shared" si="151"/>
        <v>33010769.437724292</v>
      </c>
      <c r="H292" s="80">
        <f t="shared" si="151"/>
        <v>34661307.909610517</v>
      </c>
      <c r="I292" s="80">
        <f t="shared" si="151"/>
        <v>36394373.305091038</v>
      </c>
      <c r="J292" s="80">
        <f t="shared" si="151"/>
        <v>38214091.970345594</v>
      </c>
      <c r="K292" s="71"/>
      <c r="L292" s="71"/>
      <c r="M292" s="71"/>
      <c r="N292" s="71"/>
      <c r="O292" s="71"/>
      <c r="P292" s="71"/>
      <c r="Q292" s="71"/>
      <c r="R292" s="71"/>
      <c r="S292" s="71"/>
      <c r="T292" s="71"/>
    </row>
    <row r="293" spans="1:20" ht="15.75" customHeight="1">
      <c r="A293" s="79" t="s">
        <v>357</v>
      </c>
      <c r="B293" s="76"/>
      <c r="C293" s="76"/>
      <c r="D293" s="215"/>
      <c r="E293" s="215"/>
      <c r="F293" s="215"/>
      <c r="G293" s="215"/>
      <c r="H293" s="215"/>
      <c r="I293" s="76"/>
      <c r="J293" s="76"/>
      <c r="K293" s="71"/>
      <c r="L293" s="71"/>
      <c r="M293" s="71"/>
      <c r="N293" s="71"/>
      <c r="O293" s="71"/>
      <c r="P293" s="71"/>
      <c r="Q293" s="71"/>
      <c r="R293" s="71"/>
      <c r="S293" s="71"/>
      <c r="T293" s="71"/>
    </row>
    <row r="294" spans="1:20" ht="15.75" customHeight="1">
      <c r="A294" s="76" t="s">
        <v>594</v>
      </c>
      <c r="B294" s="50">
        <v>1</v>
      </c>
      <c r="C294" s="77"/>
      <c r="D294" s="78">
        <f t="shared" ref="D294:J294" si="152">$B$294*$C$294*12*D172</f>
        <v>0</v>
      </c>
      <c r="E294" s="78">
        <f t="shared" si="152"/>
        <v>0</v>
      </c>
      <c r="F294" s="78">
        <f t="shared" si="152"/>
        <v>0</v>
      </c>
      <c r="G294" s="78">
        <f t="shared" si="152"/>
        <v>0</v>
      </c>
      <c r="H294" s="78">
        <f t="shared" si="152"/>
        <v>0</v>
      </c>
      <c r="I294" s="78">
        <f t="shared" si="152"/>
        <v>0</v>
      </c>
      <c r="J294" s="78">
        <f t="shared" si="152"/>
        <v>0</v>
      </c>
      <c r="K294" s="71"/>
      <c r="L294" s="71"/>
      <c r="M294" s="71"/>
      <c r="N294" s="71"/>
      <c r="O294" s="71"/>
      <c r="P294" s="71"/>
      <c r="Q294" s="71"/>
      <c r="R294" s="71"/>
      <c r="S294" s="71"/>
      <c r="T294" s="71"/>
    </row>
    <row r="295" spans="1:20" ht="15.75" customHeight="1">
      <c r="A295" s="76"/>
      <c r="B295" s="50"/>
      <c r="C295" s="77"/>
      <c r="D295" s="78"/>
      <c r="E295" s="78"/>
      <c r="F295" s="78"/>
      <c r="G295" s="78"/>
      <c r="H295" s="78"/>
      <c r="I295" s="78"/>
      <c r="J295" s="78"/>
      <c r="K295" s="71"/>
      <c r="L295" s="71"/>
      <c r="M295" s="71"/>
      <c r="N295" s="275"/>
      <c r="O295" s="71"/>
      <c r="P295" s="71"/>
      <c r="Q295" s="71"/>
      <c r="R295" s="71"/>
      <c r="S295" s="71"/>
      <c r="T295" s="71"/>
    </row>
    <row r="296" spans="1:20" ht="15.75" customHeight="1">
      <c r="A296" s="76"/>
      <c r="B296" s="50"/>
      <c r="C296" s="77"/>
      <c r="D296" s="78"/>
      <c r="E296" s="78"/>
      <c r="F296" s="78"/>
      <c r="G296" s="78"/>
      <c r="H296" s="78"/>
      <c r="I296" s="78"/>
      <c r="J296" s="78"/>
      <c r="K296" s="71"/>
      <c r="L296" s="71"/>
      <c r="M296" s="71"/>
      <c r="N296" s="71"/>
      <c r="O296" s="71"/>
      <c r="P296" s="71"/>
      <c r="Q296" s="71"/>
      <c r="R296" s="71"/>
      <c r="S296" s="71"/>
      <c r="T296" s="71"/>
    </row>
    <row r="297" spans="1:20" ht="15.75" customHeight="1">
      <c r="A297" s="76"/>
      <c r="B297" s="50"/>
      <c r="C297" s="77"/>
      <c r="D297" s="78"/>
      <c r="E297" s="78"/>
      <c r="F297" s="78"/>
      <c r="G297" s="78"/>
      <c r="H297" s="78"/>
      <c r="I297" s="78"/>
      <c r="J297" s="78"/>
      <c r="K297" s="71"/>
      <c r="L297" s="71"/>
      <c r="M297" s="71"/>
      <c r="N297" s="71"/>
      <c r="O297" s="71"/>
      <c r="P297" s="71"/>
      <c r="Q297" s="71"/>
      <c r="R297" s="71"/>
      <c r="S297" s="71"/>
      <c r="T297" s="71"/>
    </row>
    <row r="298" spans="1:20" ht="15.75" customHeight="1">
      <c r="A298" s="76"/>
      <c r="B298" s="50"/>
      <c r="C298" s="77"/>
      <c r="D298" s="78"/>
      <c r="E298" s="78"/>
      <c r="F298" s="78"/>
      <c r="G298" s="78"/>
      <c r="H298" s="78"/>
      <c r="I298" s="78"/>
      <c r="J298" s="78"/>
      <c r="K298" s="71"/>
      <c r="L298" s="71"/>
      <c r="M298" s="71"/>
      <c r="N298" s="71"/>
      <c r="O298" s="71"/>
      <c r="P298" s="71"/>
      <c r="Q298" s="71"/>
      <c r="R298" s="71"/>
      <c r="S298" s="71"/>
      <c r="T298" s="71"/>
    </row>
    <row r="299" spans="1:20" ht="15.75" customHeight="1">
      <c r="A299" s="76"/>
      <c r="B299" s="50"/>
      <c r="C299" s="77"/>
      <c r="D299" s="78"/>
      <c r="E299" s="78"/>
      <c r="F299" s="78"/>
      <c r="G299" s="78"/>
      <c r="H299" s="78"/>
      <c r="I299" s="78"/>
      <c r="J299" s="78"/>
      <c r="K299" s="71"/>
      <c r="L299" s="71"/>
      <c r="M299" s="71"/>
      <c r="N299" s="71"/>
      <c r="O299" s="71"/>
      <c r="P299" s="71"/>
      <c r="Q299" s="71"/>
      <c r="R299" s="71"/>
      <c r="S299" s="71"/>
      <c r="T299" s="71"/>
    </row>
    <row r="300" spans="1:20" ht="15.75" customHeight="1">
      <c r="A300" s="76"/>
      <c r="B300" s="50"/>
      <c r="C300" s="77"/>
      <c r="D300" s="78"/>
      <c r="E300" s="78"/>
      <c r="F300" s="78"/>
      <c r="G300" s="78"/>
      <c r="H300" s="78"/>
      <c r="I300" s="78"/>
      <c r="J300" s="78"/>
      <c r="K300" s="71"/>
      <c r="L300" s="71"/>
      <c r="M300" s="71"/>
      <c r="N300" s="71"/>
      <c r="O300" s="71"/>
      <c r="P300" s="71"/>
      <c r="Q300" s="71"/>
      <c r="R300" s="71"/>
      <c r="S300" s="71"/>
      <c r="T300" s="71"/>
    </row>
    <row r="301" spans="1:20" ht="15.75" customHeight="1">
      <c r="A301" s="79" t="s">
        <v>359</v>
      </c>
      <c r="B301" s="55"/>
      <c r="C301" s="55"/>
      <c r="D301" s="80">
        <f t="shared" ref="D301:J301" si="153">SUM(D294:D300)</f>
        <v>0</v>
      </c>
      <c r="E301" s="80">
        <f t="shared" si="153"/>
        <v>0</v>
      </c>
      <c r="F301" s="80">
        <f t="shared" si="153"/>
        <v>0</v>
      </c>
      <c r="G301" s="80">
        <f t="shared" si="153"/>
        <v>0</v>
      </c>
      <c r="H301" s="80">
        <f t="shared" si="153"/>
        <v>0</v>
      </c>
      <c r="I301" s="80">
        <f t="shared" si="153"/>
        <v>0</v>
      </c>
      <c r="J301" s="80">
        <f t="shared" si="153"/>
        <v>0</v>
      </c>
      <c r="K301" s="71"/>
      <c r="L301" s="71"/>
      <c r="M301" s="71"/>
      <c r="N301" s="275"/>
      <c r="O301" s="71"/>
      <c r="P301" s="71"/>
      <c r="Q301" s="71"/>
      <c r="R301" s="71"/>
      <c r="S301" s="71"/>
      <c r="T301" s="71"/>
    </row>
    <row r="302" spans="1:20" ht="15.75" customHeight="1">
      <c r="A302" s="79" t="s">
        <v>595</v>
      </c>
      <c r="B302" s="79"/>
      <c r="C302" s="79"/>
      <c r="D302" s="80">
        <f t="shared" ref="D302:J302" si="154">D292+D301</f>
        <v>27160051.395959996</v>
      </c>
      <c r="E302" s="80">
        <f t="shared" si="154"/>
        <v>29941740.986597996</v>
      </c>
      <c r="F302" s="80">
        <f t="shared" si="154"/>
        <v>31438828.035927899</v>
      </c>
      <c r="G302" s="80">
        <f t="shared" si="154"/>
        <v>33010769.437724292</v>
      </c>
      <c r="H302" s="80">
        <f t="shared" si="154"/>
        <v>34661307.909610517</v>
      </c>
      <c r="I302" s="80">
        <f t="shared" si="154"/>
        <v>36394373.305091038</v>
      </c>
      <c r="J302" s="80">
        <f t="shared" si="154"/>
        <v>38214091.970345594</v>
      </c>
      <c r="K302" s="71"/>
      <c r="L302" s="71"/>
      <c r="M302" s="71"/>
      <c r="N302" s="71"/>
      <c r="O302" s="71"/>
      <c r="P302" s="71"/>
      <c r="Q302" s="71"/>
      <c r="R302" s="71"/>
      <c r="S302" s="71"/>
      <c r="T302" s="71"/>
    </row>
    <row r="303" spans="1:20" ht="15.75" customHeight="1">
      <c r="A303" s="76"/>
      <c r="B303" s="76"/>
      <c r="C303" s="76"/>
      <c r="D303" s="215"/>
      <c r="E303" s="215"/>
      <c r="F303" s="215"/>
      <c r="G303" s="215"/>
      <c r="H303" s="215"/>
      <c r="I303" s="76"/>
      <c r="J303" s="76"/>
      <c r="K303" s="71"/>
      <c r="L303" s="71"/>
      <c r="M303" s="71"/>
      <c r="N303" s="71"/>
      <c r="O303" s="71"/>
      <c r="P303" s="71"/>
      <c r="Q303" s="71"/>
      <c r="R303" s="71"/>
      <c r="S303" s="71"/>
      <c r="T303" s="71"/>
    </row>
    <row r="304" spans="1:20" ht="15.75" customHeight="1">
      <c r="A304" s="79"/>
      <c r="B304" s="79"/>
      <c r="C304" s="79"/>
      <c r="D304" s="215"/>
      <c r="E304" s="215"/>
      <c r="F304" s="215"/>
      <c r="G304" s="215"/>
      <c r="H304" s="215"/>
      <c r="I304" s="76"/>
      <c r="J304" s="76"/>
      <c r="K304" s="71"/>
      <c r="L304" s="71"/>
      <c r="M304" s="71"/>
      <c r="N304" s="71"/>
      <c r="O304" s="71"/>
      <c r="P304" s="71"/>
      <c r="Q304" s="71"/>
      <c r="R304" s="71"/>
      <c r="S304" s="71"/>
      <c r="T304" s="71"/>
    </row>
    <row r="305" spans="1:20" ht="15.75" customHeight="1">
      <c r="A305" s="79" t="s">
        <v>596</v>
      </c>
      <c r="B305" s="79"/>
      <c r="C305" s="79"/>
      <c r="D305" s="80">
        <f t="shared" ref="D305:J305" si="155">D229-D302</f>
        <v>1054435.6040400006</v>
      </c>
      <c r="E305" s="80">
        <f t="shared" si="155"/>
        <v>1242692.0134020001</v>
      </c>
      <c r="F305" s="80">
        <f t="shared" si="155"/>
        <v>1304826.6140720993</v>
      </c>
      <c r="G305" s="80">
        <f t="shared" si="155"/>
        <v>1370067.944775708</v>
      </c>
      <c r="H305" s="80">
        <f t="shared" si="155"/>
        <v>1438571.3420144841</v>
      </c>
      <c r="I305" s="80">
        <f t="shared" si="155"/>
        <v>1510499.9091152176</v>
      </c>
      <c r="J305" s="80">
        <f t="shared" si="155"/>
        <v>1586024.9045709744</v>
      </c>
      <c r="K305" s="71"/>
      <c r="L305" s="71"/>
      <c r="M305" s="71"/>
      <c r="N305" s="71"/>
      <c r="O305" s="71"/>
      <c r="P305" s="71"/>
      <c r="Q305" s="71"/>
      <c r="R305" s="71"/>
      <c r="S305" s="71"/>
      <c r="T305" s="71"/>
    </row>
    <row r="306" spans="1:20" ht="15.75" customHeight="1">
      <c r="A306" s="71"/>
      <c r="B306" s="71"/>
      <c r="C306" s="71"/>
      <c r="D306" s="71"/>
      <c r="E306" s="71"/>
      <c r="F306" s="71"/>
      <c r="G306" s="71"/>
      <c r="H306" s="71"/>
      <c r="I306" s="71"/>
      <c r="J306" s="71"/>
    </row>
    <row r="307" spans="1:20" ht="15.75" customHeight="1">
      <c r="A307" s="71" t="s">
        <v>597</v>
      </c>
      <c r="B307" s="71"/>
      <c r="C307" s="71"/>
      <c r="D307" s="71"/>
      <c r="E307" s="71"/>
      <c r="F307" s="71"/>
      <c r="G307" s="71"/>
      <c r="H307" s="71"/>
      <c r="I307" s="71"/>
      <c r="J307" s="71"/>
    </row>
    <row r="308" spans="1:20" ht="15.75" customHeight="1">
      <c r="A308" s="353" t="s">
        <v>598</v>
      </c>
      <c r="B308" s="335"/>
      <c r="C308" s="335"/>
      <c r="D308" s="335"/>
      <c r="E308" s="335"/>
      <c r="F308" s="335"/>
      <c r="G308" s="335"/>
      <c r="H308" s="335"/>
      <c r="I308" s="335"/>
      <c r="J308" s="335"/>
    </row>
    <row r="309" spans="1:20" ht="15.75" customHeight="1"/>
    <row r="310" spans="1:20" ht="15.75" customHeight="1">
      <c r="A310" t="s">
        <v>313</v>
      </c>
    </row>
    <row r="311" spans="1:20" ht="15.75" customHeight="1">
      <c r="A311">
        <v>1</v>
      </c>
      <c r="B311" t="s">
        <v>599</v>
      </c>
    </row>
    <row r="312" spans="1:20" ht="15.75" customHeight="1">
      <c r="A312">
        <v>2</v>
      </c>
      <c r="B312" t="s">
        <v>600</v>
      </c>
    </row>
    <row r="313" spans="1:20" ht="15.75" customHeight="1">
      <c r="A313">
        <v>3</v>
      </c>
      <c r="B313" s="71" t="s">
        <v>601</v>
      </c>
    </row>
  </sheetData>
  <mergeCells count="5">
    <mergeCell ref="A170:J170"/>
    <mergeCell ref="A2:H2"/>
    <mergeCell ref="A308:J308"/>
    <mergeCell ref="F4:H4"/>
    <mergeCell ref="A3:H3"/>
  </mergeCells>
  <pageMargins left="0.7" right="0.7" top="0.75" bottom="0.75" header="0" footer="0"/>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27"/>
  <sheetViews>
    <sheetView topLeftCell="A103" workbookViewId="0">
      <selection activeCell="A3" sqref="A3:J127"/>
    </sheetView>
  </sheetViews>
  <sheetFormatPr defaultColWidth="14.44140625" defaultRowHeight="15" customHeight="1"/>
  <cols>
    <col min="1" max="1" width="41.6640625" customWidth="1"/>
    <col min="2" max="3" width="10.5546875" customWidth="1"/>
    <col min="4" max="4" width="15.109375" customWidth="1"/>
    <col min="5" max="8" width="17.33203125" customWidth="1"/>
    <col min="9" max="10" width="16.88671875" customWidth="1"/>
    <col min="11" max="11" width="8.6640625" customWidth="1"/>
  </cols>
  <sheetData>
    <row r="3" spans="1:10" ht="17.399999999999999">
      <c r="A3" s="368" t="s">
        <v>777</v>
      </c>
      <c r="B3" s="335"/>
      <c r="C3" s="335"/>
      <c r="D3" s="335"/>
      <c r="E3" s="335"/>
      <c r="F3" s="335"/>
      <c r="G3" s="335"/>
      <c r="H3" s="335"/>
    </row>
    <row r="4" spans="1:10" ht="17.399999999999999">
      <c r="A4" s="351" t="s">
        <v>602</v>
      </c>
      <c r="B4" s="335"/>
      <c r="C4" s="335"/>
      <c r="D4" s="335"/>
      <c r="E4" s="335"/>
      <c r="F4" s="335"/>
      <c r="G4" s="335"/>
      <c r="H4" s="335"/>
    </row>
    <row r="5" spans="1:10" ht="14.4">
      <c r="A5" s="71" t="s">
        <v>130</v>
      </c>
      <c r="B5" s="264">
        <v>0.625</v>
      </c>
      <c r="C5" s="71" t="s">
        <v>603</v>
      </c>
      <c r="D5" s="71"/>
      <c r="E5" s="71"/>
      <c r="F5" s="71"/>
      <c r="G5" s="71"/>
      <c r="H5" s="71"/>
    </row>
    <row r="6" spans="1:10" ht="14.4">
      <c r="A6" s="71" t="s">
        <v>572</v>
      </c>
      <c r="B6" s="120">
        <v>8</v>
      </c>
      <c r="C6" s="71"/>
      <c r="D6" s="71"/>
      <c r="E6" s="71"/>
      <c r="F6" s="71"/>
      <c r="G6" s="71"/>
      <c r="H6" s="71"/>
    </row>
    <row r="7" spans="1:10" ht="14.4">
      <c r="A7" s="71"/>
      <c r="B7" s="120"/>
      <c r="C7" s="71"/>
      <c r="D7" s="71"/>
      <c r="E7" s="71"/>
      <c r="F7" s="71"/>
      <c r="G7" s="71"/>
      <c r="H7" s="71"/>
    </row>
    <row r="8" spans="1:10" ht="14.4">
      <c r="A8" s="71"/>
      <c r="B8" s="120"/>
      <c r="C8" s="71"/>
      <c r="D8" s="71"/>
      <c r="E8" s="71"/>
      <c r="F8" s="71"/>
      <c r="G8" s="71"/>
      <c r="H8" s="71"/>
    </row>
    <row r="9" spans="1:10" ht="14.4">
      <c r="A9" s="71"/>
      <c r="B9" s="71"/>
      <c r="C9" s="71"/>
      <c r="D9" s="71"/>
      <c r="E9" s="71"/>
      <c r="F9" s="71"/>
      <c r="G9" s="71"/>
      <c r="H9" s="71"/>
    </row>
    <row r="10" spans="1:10" ht="14.4">
      <c r="A10" s="71"/>
      <c r="B10" s="71"/>
      <c r="C10" s="71"/>
      <c r="D10" s="71"/>
      <c r="E10" s="71"/>
      <c r="F10" s="71"/>
      <c r="G10" s="71"/>
      <c r="H10" s="71"/>
    </row>
    <row r="11" spans="1:10" ht="14.4">
      <c r="A11" s="128" t="s">
        <v>149</v>
      </c>
      <c r="B11" s="129" t="s">
        <v>152</v>
      </c>
      <c r="C11" s="129" t="s">
        <v>153</v>
      </c>
      <c r="D11" s="129" t="s">
        <v>154</v>
      </c>
      <c r="E11" s="129" t="s">
        <v>155</v>
      </c>
      <c r="F11" s="129" t="s">
        <v>156</v>
      </c>
      <c r="G11" s="129" t="s">
        <v>157</v>
      </c>
      <c r="H11" s="129" t="s">
        <v>158</v>
      </c>
    </row>
    <row r="12" spans="1:10" ht="14.4">
      <c r="A12" s="76" t="s">
        <v>604</v>
      </c>
      <c r="B12" s="276">
        <f>B32/($B$5*$B$6)</f>
        <v>324</v>
      </c>
      <c r="C12" s="276">
        <f t="shared" ref="C12:H12" si="0">C32/($B$5*$B$6)</f>
        <v>324</v>
      </c>
      <c r="D12" s="276">
        <f t="shared" si="0"/>
        <v>324</v>
      </c>
      <c r="E12" s="276">
        <f t="shared" si="0"/>
        <v>324</v>
      </c>
      <c r="F12" s="276">
        <f t="shared" si="0"/>
        <v>324</v>
      </c>
      <c r="G12" s="276">
        <f t="shared" si="0"/>
        <v>324</v>
      </c>
      <c r="H12" s="276">
        <f t="shared" si="0"/>
        <v>324</v>
      </c>
      <c r="J12" s="322">
        <f>+B12+C12+D12+E12+F12+G12+H12</f>
        <v>2268</v>
      </c>
    </row>
    <row r="13" spans="1:10" ht="14.4">
      <c r="A13" s="76" t="str">
        <f>'10.Grain Production details'!A68</f>
        <v>Soybean</v>
      </c>
      <c r="B13" s="76">
        <f>'10.Grain Production details'!B68</f>
        <v>0</v>
      </c>
      <c r="C13" s="76">
        <f>'10.Grain Production details'!C68</f>
        <v>0</v>
      </c>
      <c r="D13" s="76">
        <f>'10.Grain Production details'!D68</f>
        <v>0</v>
      </c>
      <c r="E13" s="76">
        <f>'10.Grain Production details'!E68</f>
        <v>0</v>
      </c>
      <c r="F13" s="76">
        <f>'10.Grain Production details'!F68</f>
        <v>0</v>
      </c>
      <c r="G13" s="76">
        <f>'10.Grain Production details'!G68</f>
        <v>0</v>
      </c>
      <c r="H13" s="76">
        <f>'10.Grain Production details'!H68</f>
        <v>0</v>
      </c>
      <c r="J13">
        <f>+J12/7</f>
        <v>324</v>
      </c>
    </row>
    <row r="14" spans="1:10" ht="14.4">
      <c r="A14" s="76" t="str">
        <f>'10.Grain Production details'!A69</f>
        <v>Red Gram/Tur</v>
      </c>
      <c r="B14" s="76">
        <f>'10.Grain Production details'!B69</f>
        <v>0</v>
      </c>
      <c r="C14" s="76">
        <f>'10.Grain Production details'!C69</f>
        <v>0</v>
      </c>
      <c r="D14" s="76">
        <f>'10.Grain Production details'!D69</f>
        <v>0</v>
      </c>
      <c r="E14" s="76">
        <f>'10.Grain Production details'!E69</f>
        <v>0</v>
      </c>
      <c r="F14" s="76">
        <f>'10.Grain Production details'!F69</f>
        <v>0</v>
      </c>
      <c r="G14" s="76">
        <f>'10.Grain Production details'!G69</f>
        <v>0</v>
      </c>
      <c r="H14" s="76">
        <f>'10.Grain Production details'!H69</f>
        <v>0</v>
      </c>
    </row>
    <row r="15" spans="1:10" ht="14.4">
      <c r="A15" s="76" t="str">
        <f>'10.Grain Production details'!A70</f>
        <v>Turmeric</v>
      </c>
      <c r="B15" s="76">
        <f>'10.Grain Production details'!B70</f>
        <v>1620</v>
      </c>
      <c r="C15" s="76">
        <f>'10.Grain Production details'!C70</f>
        <v>1620</v>
      </c>
      <c r="D15" s="76">
        <f>'10.Grain Production details'!D70</f>
        <v>1620</v>
      </c>
      <c r="E15" s="76">
        <f>'10.Grain Production details'!E70</f>
        <v>1620</v>
      </c>
      <c r="F15" s="76">
        <f>'10.Grain Production details'!F70</f>
        <v>1620</v>
      </c>
      <c r="G15" s="76">
        <f>'10.Grain Production details'!G70</f>
        <v>1620</v>
      </c>
      <c r="H15" s="76">
        <f>'10.Grain Production details'!H70</f>
        <v>1620</v>
      </c>
    </row>
    <row r="16" spans="1:10" ht="14.4">
      <c r="A16" s="76" t="str">
        <f>'10.Grain Production details'!A71</f>
        <v>Green Gram/ Moong</v>
      </c>
      <c r="B16" s="76">
        <f>'10.Grain Production details'!B71</f>
        <v>0</v>
      </c>
      <c r="C16" s="76">
        <f>'10.Grain Production details'!C71</f>
        <v>0</v>
      </c>
      <c r="D16" s="76">
        <f>'10.Grain Production details'!D71</f>
        <v>0</v>
      </c>
      <c r="E16" s="76">
        <f>'10.Grain Production details'!E71</f>
        <v>0</v>
      </c>
      <c r="F16" s="76">
        <f>'10.Grain Production details'!F71</f>
        <v>0</v>
      </c>
      <c r="G16" s="76">
        <f>'10.Grain Production details'!G71</f>
        <v>0</v>
      </c>
      <c r="H16" s="76">
        <f>'10.Grain Production details'!H71</f>
        <v>0</v>
      </c>
    </row>
    <row r="17" spans="1:8" ht="14.4">
      <c r="A17" s="76" t="str">
        <f>'10.Grain Production details'!A72</f>
        <v>Maize</v>
      </c>
      <c r="B17" s="76">
        <f>'10.Grain Production details'!B72</f>
        <v>0</v>
      </c>
      <c r="C17" s="76">
        <f>'10.Grain Production details'!C72</f>
        <v>0</v>
      </c>
      <c r="D17" s="76">
        <f>'10.Grain Production details'!D72</f>
        <v>0</v>
      </c>
      <c r="E17" s="76">
        <f>'10.Grain Production details'!E72</f>
        <v>0</v>
      </c>
      <c r="F17" s="76">
        <f>'10.Grain Production details'!F72</f>
        <v>0</v>
      </c>
      <c r="G17" s="76">
        <f>'10.Grain Production details'!G72</f>
        <v>0</v>
      </c>
      <c r="H17" s="76">
        <f>'10.Grain Production details'!H72</f>
        <v>0</v>
      </c>
    </row>
    <row r="18" spans="1:8" ht="14.4">
      <c r="A18" s="76" t="str">
        <f>'10.Grain Production details'!A73</f>
        <v>Black Gram/Udid</v>
      </c>
      <c r="B18" s="76">
        <f>'10.Grain Production details'!B73</f>
        <v>0</v>
      </c>
      <c r="C18" s="76">
        <f>'10.Grain Production details'!C73</f>
        <v>0</v>
      </c>
      <c r="D18" s="76">
        <f>'10.Grain Production details'!D73</f>
        <v>0</v>
      </c>
      <c r="E18" s="76">
        <f>'10.Grain Production details'!E73</f>
        <v>0</v>
      </c>
      <c r="F18" s="76">
        <f>'10.Grain Production details'!F73</f>
        <v>0</v>
      </c>
      <c r="G18" s="76">
        <f>'10.Grain Production details'!G73</f>
        <v>0</v>
      </c>
      <c r="H18" s="76">
        <f>'10.Grain Production details'!H73</f>
        <v>0</v>
      </c>
    </row>
    <row r="19" spans="1:8" ht="14.4">
      <c r="A19" s="76" t="str">
        <f>'10.Grain Production details'!A74</f>
        <v>Bajra</v>
      </c>
      <c r="B19" s="76">
        <f>'10.Grain Production details'!B74</f>
        <v>0</v>
      </c>
      <c r="C19" s="76">
        <f>'10.Grain Production details'!C74</f>
        <v>0</v>
      </c>
      <c r="D19" s="76">
        <f>'10.Grain Production details'!D74</f>
        <v>0</v>
      </c>
      <c r="E19" s="76">
        <f>'10.Grain Production details'!E74</f>
        <v>0</v>
      </c>
      <c r="F19" s="76">
        <f>'10.Grain Production details'!F74</f>
        <v>0</v>
      </c>
      <c r="G19" s="76">
        <f>'10.Grain Production details'!G74</f>
        <v>0</v>
      </c>
      <c r="H19" s="76">
        <f>'10.Grain Production details'!H74</f>
        <v>0</v>
      </c>
    </row>
    <row r="20" spans="1:8" ht="14.4">
      <c r="A20" s="76" t="str">
        <f>'10.Grain Production details'!A75</f>
        <v>Jawar</v>
      </c>
      <c r="B20" s="76">
        <f>'10.Grain Production details'!B75</f>
        <v>0</v>
      </c>
      <c r="C20" s="76">
        <f>'10.Grain Production details'!C75</f>
        <v>0</v>
      </c>
      <c r="D20" s="76">
        <f>'10.Grain Production details'!D75</f>
        <v>0</v>
      </c>
      <c r="E20" s="76">
        <f>'10.Grain Production details'!E75</f>
        <v>0</v>
      </c>
      <c r="F20" s="76">
        <f>'10.Grain Production details'!F75</f>
        <v>0</v>
      </c>
      <c r="G20" s="76">
        <f>'10.Grain Production details'!G75</f>
        <v>0</v>
      </c>
      <c r="H20" s="76">
        <f>'10.Grain Production details'!H75</f>
        <v>0</v>
      </c>
    </row>
    <row r="21" spans="1:8" ht="15.75" customHeight="1">
      <c r="A21" s="76" t="str">
        <f>'10.Grain Production details'!A76</f>
        <v>Sunflower</v>
      </c>
      <c r="B21" s="76">
        <f>'10.Grain Production details'!B76</f>
        <v>0</v>
      </c>
      <c r="C21" s="76">
        <f>'10.Grain Production details'!C76</f>
        <v>0</v>
      </c>
      <c r="D21" s="76">
        <f>'10.Grain Production details'!D76</f>
        <v>0</v>
      </c>
      <c r="E21" s="76">
        <f>'10.Grain Production details'!E76</f>
        <v>0</v>
      </c>
      <c r="F21" s="76">
        <f>'10.Grain Production details'!F76</f>
        <v>0</v>
      </c>
      <c r="G21" s="76">
        <f>'10.Grain Production details'!G76</f>
        <v>0</v>
      </c>
      <c r="H21" s="76">
        <f>'10.Grain Production details'!H76</f>
        <v>0</v>
      </c>
    </row>
    <row r="22" spans="1:8" ht="15.75" customHeight="1">
      <c r="A22" s="76" t="str">
        <f>'10.Grain Production details'!A77</f>
        <v>Wheat</v>
      </c>
      <c r="B22" s="76">
        <f>'10.Grain Production details'!B77</f>
        <v>0</v>
      </c>
      <c r="C22" s="76">
        <f>'10.Grain Production details'!C77</f>
        <v>0</v>
      </c>
      <c r="D22" s="76">
        <f>'10.Grain Production details'!D77</f>
        <v>0</v>
      </c>
      <c r="E22" s="76">
        <f>'10.Grain Production details'!E77</f>
        <v>0</v>
      </c>
      <c r="F22" s="76">
        <f>'10.Grain Production details'!F77</f>
        <v>0</v>
      </c>
      <c r="G22" s="76">
        <f>'10.Grain Production details'!G77</f>
        <v>0</v>
      </c>
      <c r="H22" s="76">
        <f>'10.Grain Production details'!H77</f>
        <v>0</v>
      </c>
    </row>
    <row r="23" spans="1:8" ht="15.75" customHeight="1">
      <c r="A23" s="76" t="str">
        <f>'10.Grain Production details'!A78</f>
        <v>Bengal Gram/Channa</v>
      </c>
      <c r="B23" s="76">
        <f>'10.Grain Production details'!B78</f>
        <v>0</v>
      </c>
      <c r="C23" s="76">
        <f>'10.Grain Production details'!C78</f>
        <v>0</v>
      </c>
      <c r="D23" s="76">
        <f>'10.Grain Production details'!D78</f>
        <v>0</v>
      </c>
      <c r="E23" s="76">
        <f>'10.Grain Production details'!E78</f>
        <v>0</v>
      </c>
      <c r="F23" s="76">
        <f>'10.Grain Production details'!F78</f>
        <v>0</v>
      </c>
      <c r="G23" s="76">
        <f>'10.Grain Production details'!G78</f>
        <v>0</v>
      </c>
      <c r="H23" s="76">
        <f>'10.Grain Production details'!H78</f>
        <v>0</v>
      </c>
    </row>
    <row r="24" spans="1:8" ht="15.75" customHeight="1">
      <c r="A24" s="76" t="str">
        <f>'10.Grain Production details'!A79</f>
        <v>Jawar</v>
      </c>
      <c r="B24" s="76">
        <f>'10.Grain Production details'!B79</f>
        <v>0</v>
      </c>
      <c r="C24" s="76">
        <f>'10.Grain Production details'!C79</f>
        <v>0</v>
      </c>
      <c r="D24" s="76">
        <f>'10.Grain Production details'!D79</f>
        <v>0</v>
      </c>
      <c r="E24" s="76">
        <f>'10.Grain Production details'!E79</f>
        <v>0</v>
      </c>
      <c r="F24" s="76">
        <f>'10.Grain Production details'!F79</f>
        <v>0</v>
      </c>
      <c r="G24" s="76">
        <f>'10.Grain Production details'!G79</f>
        <v>0</v>
      </c>
      <c r="H24" s="76">
        <f>'10.Grain Production details'!H79</f>
        <v>0</v>
      </c>
    </row>
    <row r="25" spans="1:8" ht="15.75" customHeight="1">
      <c r="A25" s="76" t="str">
        <f>'10.Grain Production details'!A80</f>
        <v>Maize</v>
      </c>
      <c r="B25" s="76">
        <f>'10.Grain Production details'!B80</f>
        <v>0</v>
      </c>
      <c r="C25" s="76">
        <f>'10.Grain Production details'!C80</f>
        <v>0</v>
      </c>
      <c r="D25" s="76">
        <f>'10.Grain Production details'!D80</f>
        <v>0</v>
      </c>
      <c r="E25" s="76">
        <f>'10.Grain Production details'!E80</f>
        <v>0</v>
      </c>
      <c r="F25" s="76">
        <f>'10.Grain Production details'!F80</f>
        <v>0</v>
      </c>
      <c r="G25" s="76">
        <f>'10.Grain Production details'!G80</f>
        <v>0</v>
      </c>
      <c r="H25" s="76">
        <f>'10.Grain Production details'!H80</f>
        <v>0</v>
      </c>
    </row>
    <row r="26" spans="1:8" ht="15.75" customHeight="1">
      <c r="A26" s="76" t="str">
        <f>'10.Grain Production details'!A81</f>
        <v>Safflower</v>
      </c>
      <c r="B26" s="76">
        <f>'10.Grain Production details'!B81</f>
        <v>0</v>
      </c>
      <c r="C26" s="76">
        <f>'10.Grain Production details'!C81</f>
        <v>0</v>
      </c>
      <c r="D26" s="76">
        <f>'10.Grain Production details'!D81</f>
        <v>0</v>
      </c>
      <c r="E26" s="76">
        <f>'10.Grain Production details'!E81</f>
        <v>0</v>
      </c>
      <c r="F26" s="76">
        <f>'10.Grain Production details'!F81</f>
        <v>0</v>
      </c>
      <c r="G26" s="76">
        <f>'10.Grain Production details'!G81</f>
        <v>0</v>
      </c>
      <c r="H26" s="76">
        <f>'10.Grain Production details'!H81</f>
        <v>0</v>
      </c>
    </row>
    <row r="27" spans="1:8" ht="15.75" customHeight="1">
      <c r="A27" s="76">
        <f>'10.Grain Production details'!A82</f>
        <v>0</v>
      </c>
      <c r="B27" s="76">
        <f>'10.Grain Production details'!B82</f>
        <v>0</v>
      </c>
      <c r="C27" s="76">
        <f>'10.Grain Production details'!C82</f>
        <v>0</v>
      </c>
      <c r="D27" s="76">
        <f>'10.Grain Production details'!D82</f>
        <v>0</v>
      </c>
      <c r="E27" s="76">
        <f>'10.Grain Production details'!E82</f>
        <v>0</v>
      </c>
      <c r="F27" s="76">
        <f>'10.Grain Production details'!F82</f>
        <v>0</v>
      </c>
      <c r="G27" s="76">
        <f>'10.Grain Production details'!G82</f>
        <v>0</v>
      </c>
      <c r="H27" s="76">
        <f>'10.Grain Production details'!H82</f>
        <v>0</v>
      </c>
    </row>
    <row r="28" spans="1:8" ht="15.75" customHeight="1">
      <c r="A28" s="76">
        <f>'10.Grain Production details'!A83</f>
        <v>0</v>
      </c>
      <c r="B28" s="76">
        <f>'10.Grain Production details'!B83</f>
        <v>0</v>
      </c>
      <c r="C28" s="76">
        <f>'10.Grain Production details'!C83</f>
        <v>0</v>
      </c>
      <c r="D28" s="76">
        <f>'10.Grain Production details'!D83</f>
        <v>0</v>
      </c>
      <c r="E28" s="76">
        <f>'10.Grain Production details'!E83</f>
        <v>0</v>
      </c>
      <c r="F28" s="76">
        <f>'10.Grain Production details'!F83</f>
        <v>0</v>
      </c>
      <c r="G28" s="76">
        <f>'10.Grain Production details'!G83</f>
        <v>0</v>
      </c>
      <c r="H28" s="76">
        <f>'10.Grain Production details'!H83</f>
        <v>0</v>
      </c>
    </row>
    <row r="29" spans="1:8" ht="15.75" customHeight="1">
      <c r="A29" s="76">
        <f>'10.Grain Production details'!A84</f>
        <v>0</v>
      </c>
      <c r="B29" s="76">
        <f>'10.Grain Production details'!B84</f>
        <v>0</v>
      </c>
      <c r="C29" s="76">
        <f>'10.Grain Production details'!C84</f>
        <v>0</v>
      </c>
      <c r="D29" s="76">
        <f>'10.Grain Production details'!D84</f>
        <v>0</v>
      </c>
      <c r="E29" s="76">
        <f>'10.Grain Production details'!E84</f>
        <v>0</v>
      </c>
      <c r="F29" s="76">
        <f>'10.Grain Production details'!F84</f>
        <v>0</v>
      </c>
      <c r="G29" s="76">
        <f>'10.Grain Production details'!G84</f>
        <v>0</v>
      </c>
      <c r="H29" s="76">
        <f>'10.Grain Production details'!H84</f>
        <v>0</v>
      </c>
    </row>
    <row r="30" spans="1:8" ht="15.75" customHeight="1">
      <c r="A30" s="76" t="str">
        <f>'10.Grain Production details'!A85</f>
        <v>Groundnut</v>
      </c>
      <c r="B30" s="76">
        <f>'10.Grain Production details'!B85</f>
        <v>0</v>
      </c>
      <c r="C30" s="76">
        <f>'10.Grain Production details'!C85</f>
        <v>0</v>
      </c>
      <c r="D30" s="76">
        <f>'10.Grain Production details'!D85</f>
        <v>0</v>
      </c>
      <c r="E30" s="76">
        <f>'10.Grain Production details'!E85</f>
        <v>0</v>
      </c>
      <c r="F30" s="76">
        <f>'10.Grain Production details'!F85</f>
        <v>0</v>
      </c>
      <c r="G30" s="76">
        <f>'10.Grain Production details'!G85</f>
        <v>0</v>
      </c>
      <c r="H30" s="76">
        <f>'10.Grain Production details'!H85</f>
        <v>0</v>
      </c>
    </row>
    <row r="31" spans="1:8" ht="15.75" customHeight="1">
      <c r="A31" s="76">
        <f>'10.Grain Production details'!A86</f>
        <v>0</v>
      </c>
      <c r="B31" s="76">
        <f>'10.Grain Production details'!B86</f>
        <v>0</v>
      </c>
      <c r="C31" s="76">
        <f>'10.Grain Production details'!C86</f>
        <v>0</v>
      </c>
      <c r="D31" s="76">
        <f>'10.Grain Production details'!D86</f>
        <v>0</v>
      </c>
      <c r="E31" s="76">
        <f>'10.Grain Production details'!E86</f>
        <v>0</v>
      </c>
      <c r="F31" s="76">
        <f>'10.Grain Production details'!F86</f>
        <v>0</v>
      </c>
      <c r="G31" s="76">
        <f>'10.Grain Production details'!G86</f>
        <v>0</v>
      </c>
      <c r="H31" s="76">
        <f>'10.Grain Production details'!H86</f>
        <v>0</v>
      </c>
    </row>
    <row r="32" spans="1:8" ht="15.75" customHeight="1">
      <c r="A32" s="76" t="s">
        <v>605</v>
      </c>
      <c r="B32" s="76">
        <f t="shared" ref="B32:H32" si="1">SUM(B13:B31)</f>
        <v>1620</v>
      </c>
      <c r="C32" s="76">
        <f t="shared" si="1"/>
        <v>1620</v>
      </c>
      <c r="D32" s="76">
        <f t="shared" si="1"/>
        <v>1620</v>
      </c>
      <c r="E32" s="76">
        <f t="shared" si="1"/>
        <v>1620</v>
      </c>
      <c r="F32" s="76">
        <f t="shared" si="1"/>
        <v>1620</v>
      </c>
      <c r="G32" s="76">
        <f t="shared" si="1"/>
        <v>1620</v>
      </c>
      <c r="H32" s="76">
        <f t="shared" si="1"/>
        <v>1620</v>
      </c>
    </row>
    <row r="33" spans="1:8" ht="15.75" customHeight="1">
      <c r="A33" s="277" t="s">
        <v>581</v>
      </c>
      <c r="B33" s="139">
        <v>0</v>
      </c>
      <c r="C33" s="139">
        <f t="shared" ref="C33:H33" si="2">B33</f>
        <v>0</v>
      </c>
      <c r="D33" s="139">
        <f t="shared" si="2"/>
        <v>0</v>
      </c>
      <c r="E33" s="139">
        <f t="shared" si="2"/>
        <v>0</v>
      </c>
      <c r="F33" s="139">
        <f t="shared" si="2"/>
        <v>0</v>
      </c>
      <c r="G33" s="139">
        <f t="shared" si="2"/>
        <v>0</v>
      </c>
      <c r="H33" s="139">
        <f t="shared" si="2"/>
        <v>0</v>
      </c>
    </row>
    <row r="34" spans="1:8" ht="15.75" customHeight="1">
      <c r="A34" s="76" t="s">
        <v>606</v>
      </c>
      <c r="B34" s="131">
        <f t="shared" ref="B34:H34" si="3">1-B33</f>
        <v>1</v>
      </c>
      <c r="C34" s="131">
        <f t="shared" si="3"/>
        <v>1</v>
      </c>
      <c r="D34" s="131">
        <f t="shared" si="3"/>
        <v>1</v>
      </c>
      <c r="E34" s="131">
        <f t="shared" si="3"/>
        <v>1</v>
      </c>
      <c r="F34" s="131">
        <f t="shared" si="3"/>
        <v>1</v>
      </c>
      <c r="G34" s="131">
        <f t="shared" si="3"/>
        <v>1</v>
      </c>
      <c r="H34" s="131">
        <f t="shared" si="3"/>
        <v>1</v>
      </c>
    </row>
    <row r="35" spans="1:8" ht="15.75" customHeight="1">
      <c r="A35" s="79" t="s">
        <v>581</v>
      </c>
      <c r="B35" s="273">
        <f t="shared" ref="B35:H35" si="4">B32*B33</f>
        <v>0</v>
      </c>
      <c r="C35" s="273">
        <f t="shared" si="4"/>
        <v>0</v>
      </c>
      <c r="D35" s="273">
        <f t="shared" si="4"/>
        <v>0</v>
      </c>
      <c r="E35" s="273">
        <f t="shared" si="4"/>
        <v>0</v>
      </c>
      <c r="F35" s="273">
        <f t="shared" si="4"/>
        <v>0</v>
      </c>
      <c r="G35" s="273">
        <f t="shared" si="4"/>
        <v>0</v>
      </c>
      <c r="H35" s="273">
        <f t="shared" si="4"/>
        <v>0</v>
      </c>
    </row>
    <row r="36" spans="1:8" ht="15.75" customHeight="1">
      <c r="A36" s="79" t="s">
        <v>582</v>
      </c>
      <c r="B36" s="80"/>
      <c r="C36" s="80"/>
      <c r="D36" s="80"/>
      <c r="E36" s="80"/>
      <c r="F36" s="80"/>
      <c r="G36" s="80"/>
      <c r="H36" s="80"/>
    </row>
    <row r="37" spans="1:8" ht="15.75" customHeight="1">
      <c r="A37" s="76" t="str">
        <f t="shared" ref="A37:A55" si="5">A13</f>
        <v>Soybean</v>
      </c>
      <c r="B37" s="78">
        <f t="shared" ref="B37:H37" si="6">B13*$B$34</f>
        <v>0</v>
      </c>
      <c r="C37" s="78">
        <f t="shared" si="6"/>
        <v>0</v>
      </c>
      <c r="D37" s="78">
        <f t="shared" si="6"/>
        <v>0</v>
      </c>
      <c r="E37" s="78">
        <f t="shared" si="6"/>
        <v>0</v>
      </c>
      <c r="F37" s="78">
        <f t="shared" si="6"/>
        <v>0</v>
      </c>
      <c r="G37" s="78">
        <f t="shared" si="6"/>
        <v>0</v>
      </c>
      <c r="H37" s="78">
        <f t="shared" si="6"/>
        <v>0</v>
      </c>
    </row>
    <row r="38" spans="1:8" ht="15.75" customHeight="1">
      <c r="A38" s="76" t="str">
        <f t="shared" si="5"/>
        <v>Red Gram/Tur</v>
      </c>
      <c r="B38" s="78">
        <f t="shared" ref="B38:B55" si="7">B14*$B$34</f>
        <v>0</v>
      </c>
      <c r="C38" s="78">
        <f t="shared" ref="C38:C55" si="8">C14*$C$34</f>
        <v>0</v>
      </c>
      <c r="D38" s="78">
        <f t="shared" ref="D38:D55" si="9">D14*$D$34</f>
        <v>0</v>
      </c>
      <c r="E38" s="78">
        <f t="shared" ref="E38:E55" si="10">E14*$E$34</f>
        <v>0</v>
      </c>
      <c r="F38" s="78">
        <f t="shared" ref="F38:F55" si="11">F14*$F$34</f>
        <v>0</v>
      </c>
      <c r="G38" s="78">
        <f t="shared" ref="G38:G55" si="12">G14*$G$34</f>
        <v>0</v>
      </c>
      <c r="H38" s="78">
        <f t="shared" ref="H38:H55" si="13">H14*$H$34</f>
        <v>0</v>
      </c>
    </row>
    <row r="39" spans="1:8" ht="15.75" customHeight="1">
      <c r="A39" s="76" t="str">
        <f t="shared" si="5"/>
        <v>Turmeric</v>
      </c>
      <c r="B39" s="78">
        <f t="shared" si="7"/>
        <v>1620</v>
      </c>
      <c r="C39" s="78">
        <f t="shared" si="8"/>
        <v>1620</v>
      </c>
      <c r="D39" s="78">
        <f t="shared" si="9"/>
        <v>1620</v>
      </c>
      <c r="E39" s="78">
        <f t="shared" si="10"/>
        <v>1620</v>
      </c>
      <c r="F39" s="78">
        <f t="shared" si="11"/>
        <v>1620</v>
      </c>
      <c r="G39" s="78">
        <f t="shared" si="12"/>
        <v>1620</v>
      </c>
      <c r="H39" s="78">
        <f t="shared" si="13"/>
        <v>1620</v>
      </c>
    </row>
    <row r="40" spans="1:8" ht="15.75" customHeight="1">
      <c r="A40" s="76" t="str">
        <f t="shared" si="5"/>
        <v>Green Gram/ Moong</v>
      </c>
      <c r="B40" s="78">
        <f t="shared" si="7"/>
        <v>0</v>
      </c>
      <c r="C40" s="78">
        <f t="shared" si="8"/>
        <v>0</v>
      </c>
      <c r="D40" s="78">
        <f t="shared" si="9"/>
        <v>0</v>
      </c>
      <c r="E40" s="78">
        <f t="shared" si="10"/>
        <v>0</v>
      </c>
      <c r="F40" s="78">
        <f t="shared" si="11"/>
        <v>0</v>
      </c>
      <c r="G40" s="78">
        <f t="shared" si="12"/>
        <v>0</v>
      </c>
      <c r="H40" s="78">
        <f t="shared" si="13"/>
        <v>0</v>
      </c>
    </row>
    <row r="41" spans="1:8" ht="15.75" customHeight="1">
      <c r="A41" s="76" t="str">
        <f t="shared" si="5"/>
        <v>Maize</v>
      </c>
      <c r="B41" s="78">
        <f t="shared" si="7"/>
        <v>0</v>
      </c>
      <c r="C41" s="78">
        <f t="shared" si="8"/>
        <v>0</v>
      </c>
      <c r="D41" s="78">
        <f t="shared" si="9"/>
        <v>0</v>
      </c>
      <c r="E41" s="78">
        <f t="shared" si="10"/>
        <v>0</v>
      </c>
      <c r="F41" s="78">
        <f t="shared" si="11"/>
        <v>0</v>
      </c>
      <c r="G41" s="78">
        <f t="shared" si="12"/>
        <v>0</v>
      </c>
      <c r="H41" s="78">
        <f t="shared" si="13"/>
        <v>0</v>
      </c>
    </row>
    <row r="42" spans="1:8" ht="15.75" customHeight="1">
      <c r="A42" s="76" t="str">
        <f t="shared" si="5"/>
        <v>Black Gram/Udid</v>
      </c>
      <c r="B42" s="78">
        <f t="shared" si="7"/>
        <v>0</v>
      </c>
      <c r="C42" s="78">
        <f t="shared" si="8"/>
        <v>0</v>
      </c>
      <c r="D42" s="78">
        <f t="shared" si="9"/>
        <v>0</v>
      </c>
      <c r="E42" s="78">
        <f t="shared" si="10"/>
        <v>0</v>
      </c>
      <c r="F42" s="78">
        <f t="shared" si="11"/>
        <v>0</v>
      </c>
      <c r="G42" s="78">
        <f t="shared" si="12"/>
        <v>0</v>
      </c>
      <c r="H42" s="78">
        <f t="shared" si="13"/>
        <v>0</v>
      </c>
    </row>
    <row r="43" spans="1:8" ht="15.75" customHeight="1">
      <c r="A43" s="76" t="str">
        <f t="shared" si="5"/>
        <v>Bajra</v>
      </c>
      <c r="B43" s="78">
        <f t="shared" si="7"/>
        <v>0</v>
      </c>
      <c r="C43" s="78">
        <f t="shared" si="8"/>
        <v>0</v>
      </c>
      <c r="D43" s="78">
        <f t="shared" si="9"/>
        <v>0</v>
      </c>
      <c r="E43" s="78">
        <f t="shared" si="10"/>
        <v>0</v>
      </c>
      <c r="F43" s="78">
        <f t="shared" si="11"/>
        <v>0</v>
      </c>
      <c r="G43" s="78">
        <f t="shared" si="12"/>
        <v>0</v>
      </c>
      <c r="H43" s="78">
        <f t="shared" si="13"/>
        <v>0</v>
      </c>
    </row>
    <row r="44" spans="1:8" ht="15.75" customHeight="1">
      <c r="A44" s="76" t="str">
        <f t="shared" si="5"/>
        <v>Jawar</v>
      </c>
      <c r="B44" s="78">
        <f t="shared" si="7"/>
        <v>0</v>
      </c>
      <c r="C44" s="78">
        <f t="shared" si="8"/>
        <v>0</v>
      </c>
      <c r="D44" s="78">
        <f t="shared" si="9"/>
        <v>0</v>
      </c>
      <c r="E44" s="78">
        <f t="shared" si="10"/>
        <v>0</v>
      </c>
      <c r="F44" s="78">
        <f t="shared" si="11"/>
        <v>0</v>
      </c>
      <c r="G44" s="78">
        <f t="shared" si="12"/>
        <v>0</v>
      </c>
      <c r="H44" s="78">
        <f t="shared" si="13"/>
        <v>0</v>
      </c>
    </row>
    <row r="45" spans="1:8" ht="15.75" customHeight="1">
      <c r="A45" s="76" t="str">
        <f t="shared" si="5"/>
        <v>Sunflower</v>
      </c>
      <c r="B45" s="78">
        <f t="shared" si="7"/>
        <v>0</v>
      </c>
      <c r="C45" s="78">
        <f t="shared" si="8"/>
        <v>0</v>
      </c>
      <c r="D45" s="78">
        <f t="shared" si="9"/>
        <v>0</v>
      </c>
      <c r="E45" s="78">
        <f t="shared" si="10"/>
        <v>0</v>
      </c>
      <c r="F45" s="78">
        <f t="shared" si="11"/>
        <v>0</v>
      </c>
      <c r="G45" s="78">
        <f t="shared" si="12"/>
        <v>0</v>
      </c>
      <c r="H45" s="78">
        <f t="shared" si="13"/>
        <v>0</v>
      </c>
    </row>
    <row r="46" spans="1:8" ht="15.75" customHeight="1">
      <c r="A46" s="76" t="str">
        <f t="shared" si="5"/>
        <v>Wheat</v>
      </c>
      <c r="B46" s="78">
        <f t="shared" si="7"/>
        <v>0</v>
      </c>
      <c r="C46" s="78">
        <f t="shared" si="8"/>
        <v>0</v>
      </c>
      <c r="D46" s="78">
        <f t="shared" si="9"/>
        <v>0</v>
      </c>
      <c r="E46" s="78">
        <f t="shared" si="10"/>
        <v>0</v>
      </c>
      <c r="F46" s="78">
        <f t="shared" si="11"/>
        <v>0</v>
      </c>
      <c r="G46" s="78">
        <f t="shared" si="12"/>
        <v>0</v>
      </c>
      <c r="H46" s="78">
        <f t="shared" si="13"/>
        <v>0</v>
      </c>
    </row>
    <row r="47" spans="1:8" ht="15.75" customHeight="1">
      <c r="A47" s="76" t="str">
        <f t="shared" si="5"/>
        <v>Bengal Gram/Channa</v>
      </c>
      <c r="B47" s="78">
        <f t="shared" si="7"/>
        <v>0</v>
      </c>
      <c r="C47" s="78">
        <f t="shared" si="8"/>
        <v>0</v>
      </c>
      <c r="D47" s="78">
        <f t="shared" si="9"/>
        <v>0</v>
      </c>
      <c r="E47" s="78">
        <f t="shared" si="10"/>
        <v>0</v>
      </c>
      <c r="F47" s="78">
        <f t="shared" si="11"/>
        <v>0</v>
      </c>
      <c r="G47" s="78">
        <f t="shared" si="12"/>
        <v>0</v>
      </c>
      <c r="H47" s="78">
        <f t="shared" si="13"/>
        <v>0</v>
      </c>
    </row>
    <row r="48" spans="1:8" ht="15.75" customHeight="1">
      <c r="A48" s="76" t="str">
        <f t="shared" si="5"/>
        <v>Jawar</v>
      </c>
      <c r="B48" s="78">
        <f t="shared" si="7"/>
        <v>0</v>
      </c>
      <c r="C48" s="78">
        <f t="shared" si="8"/>
        <v>0</v>
      </c>
      <c r="D48" s="78">
        <f t="shared" si="9"/>
        <v>0</v>
      </c>
      <c r="E48" s="78">
        <f t="shared" si="10"/>
        <v>0</v>
      </c>
      <c r="F48" s="78">
        <f t="shared" si="11"/>
        <v>0</v>
      </c>
      <c r="G48" s="78">
        <f t="shared" si="12"/>
        <v>0</v>
      </c>
      <c r="H48" s="78">
        <f t="shared" si="13"/>
        <v>0</v>
      </c>
    </row>
    <row r="49" spans="1:8" ht="15.75" customHeight="1">
      <c r="A49" s="76" t="str">
        <f t="shared" si="5"/>
        <v>Maize</v>
      </c>
      <c r="B49" s="78">
        <f t="shared" si="7"/>
        <v>0</v>
      </c>
      <c r="C49" s="78">
        <f t="shared" si="8"/>
        <v>0</v>
      </c>
      <c r="D49" s="78">
        <f t="shared" si="9"/>
        <v>0</v>
      </c>
      <c r="E49" s="78">
        <f t="shared" si="10"/>
        <v>0</v>
      </c>
      <c r="F49" s="78">
        <f t="shared" si="11"/>
        <v>0</v>
      </c>
      <c r="G49" s="78">
        <f t="shared" si="12"/>
        <v>0</v>
      </c>
      <c r="H49" s="78">
        <f t="shared" si="13"/>
        <v>0</v>
      </c>
    </row>
    <row r="50" spans="1:8" ht="15.75" customHeight="1">
      <c r="A50" s="76" t="str">
        <f t="shared" si="5"/>
        <v>Safflower</v>
      </c>
      <c r="B50" s="78">
        <f t="shared" si="7"/>
        <v>0</v>
      </c>
      <c r="C50" s="78">
        <f t="shared" si="8"/>
        <v>0</v>
      </c>
      <c r="D50" s="78">
        <f t="shared" si="9"/>
        <v>0</v>
      </c>
      <c r="E50" s="78">
        <f t="shared" si="10"/>
        <v>0</v>
      </c>
      <c r="F50" s="78">
        <f t="shared" si="11"/>
        <v>0</v>
      </c>
      <c r="G50" s="78">
        <f t="shared" si="12"/>
        <v>0</v>
      </c>
      <c r="H50" s="78">
        <f t="shared" si="13"/>
        <v>0</v>
      </c>
    </row>
    <row r="51" spans="1:8" ht="15.75" customHeight="1">
      <c r="A51" s="76">
        <f t="shared" si="5"/>
        <v>0</v>
      </c>
      <c r="B51" s="78">
        <f t="shared" si="7"/>
        <v>0</v>
      </c>
      <c r="C51" s="78">
        <f t="shared" si="8"/>
        <v>0</v>
      </c>
      <c r="D51" s="78">
        <f t="shared" si="9"/>
        <v>0</v>
      </c>
      <c r="E51" s="78">
        <f t="shared" si="10"/>
        <v>0</v>
      </c>
      <c r="F51" s="78">
        <f t="shared" si="11"/>
        <v>0</v>
      </c>
      <c r="G51" s="78">
        <f t="shared" si="12"/>
        <v>0</v>
      </c>
      <c r="H51" s="78">
        <f t="shared" si="13"/>
        <v>0</v>
      </c>
    </row>
    <row r="52" spans="1:8" ht="15.75" customHeight="1">
      <c r="A52" s="76">
        <f t="shared" si="5"/>
        <v>0</v>
      </c>
      <c r="B52" s="78">
        <f t="shared" si="7"/>
        <v>0</v>
      </c>
      <c r="C52" s="78">
        <f t="shared" si="8"/>
        <v>0</v>
      </c>
      <c r="D52" s="78">
        <f t="shared" si="9"/>
        <v>0</v>
      </c>
      <c r="E52" s="78">
        <f t="shared" si="10"/>
        <v>0</v>
      </c>
      <c r="F52" s="78">
        <f t="shared" si="11"/>
        <v>0</v>
      </c>
      <c r="G52" s="78">
        <f t="shared" si="12"/>
        <v>0</v>
      </c>
      <c r="H52" s="78">
        <f t="shared" si="13"/>
        <v>0</v>
      </c>
    </row>
    <row r="53" spans="1:8" ht="15.75" customHeight="1">
      <c r="A53" s="76">
        <f t="shared" si="5"/>
        <v>0</v>
      </c>
      <c r="B53" s="78">
        <f t="shared" si="7"/>
        <v>0</v>
      </c>
      <c r="C53" s="78">
        <f t="shared" si="8"/>
        <v>0</v>
      </c>
      <c r="D53" s="78">
        <f t="shared" si="9"/>
        <v>0</v>
      </c>
      <c r="E53" s="78">
        <f t="shared" si="10"/>
        <v>0</v>
      </c>
      <c r="F53" s="78">
        <f t="shared" si="11"/>
        <v>0</v>
      </c>
      <c r="G53" s="78">
        <f t="shared" si="12"/>
        <v>0</v>
      </c>
      <c r="H53" s="78">
        <f t="shared" si="13"/>
        <v>0</v>
      </c>
    </row>
    <row r="54" spans="1:8" ht="15.75" customHeight="1">
      <c r="A54" s="76" t="str">
        <f t="shared" si="5"/>
        <v>Groundnut</v>
      </c>
      <c r="B54" s="78">
        <f t="shared" si="7"/>
        <v>0</v>
      </c>
      <c r="C54" s="78">
        <f t="shared" si="8"/>
        <v>0</v>
      </c>
      <c r="D54" s="78">
        <f t="shared" si="9"/>
        <v>0</v>
      </c>
      <c r="E54" s="78">
        <f t="shared" si="10"/>
        <v>0</v>
      </c>
      <c r="F54" s="78">
        <f t="shared" si="11"/>
        <v>0</v>
      </c>
      <c r="G54" s="78">
        <f t="shared" si="12"/>
        <v>0</v>
      </c>
      <c r="H54" s="78">
        <f t="shared" si="13"/>
        <v>0</v>
      </c>
    </row>
    <row r="55" spans="1:8" ht="15.75" customHeight="1">
      <c r="A55" s="76">
        <f t="shared" si="5"/>
        <v>0</v>
      </c>
      <c r="B55" s="78">
        <f t="shared" si="7"/>
        <v>0</v>
      </c>
      <c r="C55" s="78">
        <f t="shared" si="8"/>
        <v>0</v>
      </c>
      <c r="D55" s="78">
        <f t="shared" si="9"/>
        <v>0</v>
      </c>
      <c r="E55" s="78">
        <f t="shared" si="10"/>
        <v>0</v>
      </c>
      <c r="F55" s="78">
        <f t="shared" si="11"/>
        <v>0</v>
      </c>
      <c r="G55" s="78">
        <f t="shared" si="12"/>
        <v>0</v>
      </c>
      <c r="H55" s="78">
        <f t="shared" si="13"/>
        <v>0</v>
      </c>
    </row>
    <row r="56" spans="1:8" ht="15.75" customHeight="1">
      <c r="A56" s="76"/>
      <c r="B56" s="76"/>
      <c r="C56" s="76"/>
      <c r="D56" s="76"/>
      <c r="E56" s="76"/>
      <c r="F56" s="76"/>
      <c r="G56" s="76"/>
      <c r="H56" s="76"/>
    </row>
    <row r="57" spans="1:8" ht="15.75" customHeight="1">
      <c r="A57" s="79" t="s">
        <v>607</v>
      </c>
      <c r="B57" s="76"/>
      <c r="C57" s="76"/>
      <c r="D57" s="76"/>
      <c r="E57" s="76"/>
      <c r="F57" s="76"/>
      <c r="G57" s="76"/>
      <c r="H57" s="76"/>
    </row>
    <row r="58" spans="1:8" ht="15.75" customHeight="1">
      <c r="A58" s="76"/>
      <c r="B58" s="76"/>
      <c r="C58" s="76"/>
      <c r="D58" s="76"/>
      <c r="E58" s="76"/>
      <c r="F58" s="76"/>
      <c r="G58" s="76"/>
      <c r="H58" s="76"/>
    </row>
    <row r="59" spans="1:8" ht="15.75" customHeight="1">
      <c r="A59" s="324" t="s">
        <v>762</v>
      </c>
      <c r="B59" s="238"/>
      <c r="C59" s="238"/>
      <c r="D59" s="238"/>
      <c r="E59" s="238"/>
      <c r="F59" s="238"/>
      <c r="G59" s="238"/>
      <c r="H59" s="238"/>
    </row>
    <row r="60" spans="1:8" ht="15.75" customHeight="1">
      <c r="A60" s="324" t="s">
        <v>764</v>
      </c>
      <c r="B60" s="238">
        <f>B39*3.5%</f>
        <v>56.7</v>
      </c>
      <c r="C60" s="238">
        <f t="shared" ref="C60:H60" si="14">C39*3.5%</f>
        <v>56.7</v>
      </c>
      <c r="D60" s="238">
        <f t="shared" si="14"/>
        <v>56.7</v>
      </c>
      <c r="E60" s="238">
        <f t="shared" si="14"/>
        <v>56.7</v>
      </c>
      <c r="F60" s="238">
        <f t="shared" si="14"/>
        <v>56.7</v>
      </c>
      <c r="G60" s="238">
        <f t="shared" si="14"/>
        <v>56.7</v>
      </c>
      <c r="H60" s="238">
        <f t="shared" si="14"/>
        <v>56.7</v>
      </c>
    </row>
    <row r="61" spans="1:8" ht="15.75" customHeight="1">
      <c r="A61" s="324" t="s">
        <v>608</v>
      </c>
      <c r="B61" s="238">
        <f t="shared" ref="B61:H61" si="15">B38*20%</f>
        <v>0</v>
      </c>
      <c r="C61" s="238">
        <f t="shared" si="15"/>
        <v>0</v>
      </c>
      <c r="D61" s="238">
        <f t="shared" si="15"/>
        <v>0</v>
      </c>
      <c r="E61" s="238">
        <f t="shared" si="15"/>
        <v>0</v>
      </c>
      <c r="F61" s="238">
        <f t="shared" si="15"/>
        <v>0</v>
      </c>
      <c r="G61" s="238">
        <f t="shared" si="15"/>
        <v>0</v>
      </c>
      <c r="H61" s="238">
        <f t="shared" si="15"/>
        <v>0</v>
      </c>
    </row>
    <row r="62" spans="1:8" ht="15.75" customHeight="1">
      <c r="A62" s="324"/>
      <c r="B62" s="78"/>
      <c r="C62" s="78"/>
      <c r="D62" s="78"/>
      <c r="E62" s="78"/>
      <c r="F62" s="78"/>
      <c r="G62" s="78"/>
      <c r="H62" s="78"/>
    </row>
    <row r="63" spans="1:8" ht="15.75" customHeight="1">
      <c r="A63" s="324"/>
      <c r="B63" s="78">
        <f t="shared" ref="B63:H63" si="16">B40*20%</f>
        <v>0</v>
      </c>
      <c r="C63" s="78">
        <f t="shared" si="16"/>
        <v>0</v>
      </c>
      <c r="D63" s="78">
        <f t="shared" si="16"/>
        <v>0</v>
      </c>
      <c r="E63" s="78">
        <f t="shared" si="16"/>
        <v>0</v>
      </c>
      <c r="F63" s="78">
        <f t="shared" si="16"/>
        <v>0</v>
      </c>
      <c r="G63" s="78">
        <f t="shared" si="16"/>
        <v>0</v>
      </c>
      <c r="H63" s="78">
        <f t="shared" si="16"/>
        <v>0</v>
      </c>
    </row>
    <row r="64" spans="1:8" ht="15.75" customHeight="1">
      <c r="A64" s="324" t="s">
        <v>763</v>
      </c>
      <c r="B64" s="78"/>
      <c r="C64" s="78"/>
      <c r="D64" s="78"/>
      <c r="E64" s="78"/>
      <c r="F64" s="78"/>
      <c r="G64" s="78"/>
      <c r="H64" s="78"/>
    </row>
    <row r="65" spans="1:10" ht="15.75" customHeight="1">
      <c r="A65" s="324" t="s">
        <v>774</v>
      </c>
      <c r="B65" s="78">
        <f>B39*96.5%</f>
        <v>1563.3</v>
      </c>
      <c r="C65" s="78">
        <f t="shared" ref="C65:H65" si="17">C39*96.5%</f>
        <v>1563.3</v>
      </c>
      <c r="D65" s="78">
        <f t="shared" si="17"/>
        <v>1563.3</v>
      </c>
      <c r="E65" s="78">
        <f t="shared" si="17"/>
        <v>1563.3</v>
      </c>
      <c r="F65" s="78">
        <f t="shared" si="17"/>
        <v>1563.3</v>
      </c>
      <c r="G65" s="78">
        <f t="shared" si="17"/>
        <v>1563.3</v>
      </c>
      <c r="H65" s="78">
        <f t="shared" si="17"/>
        <v>1563.3</v>
      </c>
    </row>
    <row r="66" spans="1:10" ht="15.75" customHeight="1">
      <c r="A66" s="324" t="s">
        <v>608</v>
      </c>
      <c r="B66" s="78">
        <f t="shared" ref="B66:H66" si="18">B42*20%</f>
        <v>0</v>
      </c>
      <c r="C66" s="78">
        <f t="shared" si="18"/>
        <v>0</v>
      </c>
      <c r="D66" s="78">
        <f t="shared" si="18"/>
        <v>0</v>
      </c>
      <c r="E66" s="78">
        <f t="shared" si="18"/>
        <v>0</v>
      </c>
      <c r="F66" s="78">
        <f t="shared" si="18"/>
        <v>0</v>
      </c>
      <c r="G66" s="78">
        <f t="shared" si="18"/>
        <v>0</v>
      </c>
      <c r="H66" s="78">
        <f t="shared" si="18"/>
        <v>0</v>
      </c>
    </row>
    <row r="67" spans="1:10" ht="15.75" customHeight="1">
      <c r="A67" s="76">
        <f>A56</f>
        <v>0</v>
      </c>
      <c r="B67" s="78"/>
      <c r="C67" s="78"/>
      <c r="D67" s="78"/>
      <c r="E67" s="78"/>
      <c r="F67" s="78"/>
      <c r="G67" s="78"/>
      <c r="H67" s="78"/>
    </row>
    <row r="68" spans="1:10" ht="15.75" customHeight="1">
      <c r="A68" s="71"/>
      <c r="B68" s="118"/>
      <c r="C68" s="118"/>
      <c r="D68" s="118"/>
      <c r="E68" s="118"/>
      <c r="F68" s="118"/>
      <c r="G68" s="118"/>
      <c r="H68" s="118"/>
    </row>
    <row r="69" spans="1:10" ht="15.75" customHeight="1">
      <c r="A69" s="71"/>
      <c r="B69" s="118"/>
      <c r="C69" s="118"/>
      <c r="D69" s="118"/>
      <c r="E69" s="118"/>
      <c r="F69" s="118"/>
      <c r="G69" s="118"/>
      <c r="H69" s="118"/>
    </row>
    <row r="70" spans="1:10" ht="15.75" customHeight="1">
      <c r="A70" s="327" t="s">
        <v>768</v>
      </c>
      <c r="B70">
        <v>1</v>
      </c>
    </row>
    <row r="71" spans="1:10" ht="15.75" customHeight="1">
      <c r="A71" s="327" t="s">
        <v>767</v>
      </c>
      <c r="B71">
        <v>50</v>
      </c>
    </row>
    <row r="72" spans="1:10" ht="15.75" customHeight="1"/>
    <row r="73" spans="1:10" ht="15.75" customHeight="1"/>
    <row r="74" spans="1:10" ht="15.75" customHeight="1"/>
    <row r="75" spans="1:10" ht="15.75" customHeight="1"/>
    <row r="76" spans="1:10" ht="15.75" customHeight="1"/>
    <row r="77" spans="1:10" ht="15.75" customHeight="1">
      <c r="A77" s="351" t="s">
        <v>610</v>
      </c>
      <c r="B77" s="335"/>
      <c r="C77" s="335"/>
      <c r="D77" s="335"/>
      <c r="E77" s="335"/>
      <c r="F77" s="335"/>
      <c r="G77" s="335"/>
      <c r="H77" s="335"/>
      <c r="I77" s="335"/>
      <c r="J77" s="335"/>
    </row>
    <row r="78" spans="1:10" ht="15.75" customHeight="1">
      <c r="A78" s="26"/>
      <c r="B78" s="26"/>
      <c r="C78" s="26"/>
      <c r="D78" s="26"/>
      <c r="E78" s="26"/>
      <c r="F78" s="26"/>
      <c r="G78" s="26"/>
      <c r="H78" s="26"/>
    </row>
    <row r="79" spans="1:10" ht="15.75" customHeight="1">
      <c r="A79" s="95"/>
      <c r="B79" s="95"/>
      <c r="C79" s="95"/>
      <c r="D79" s="271">
        <v>1</v>
      </c>
      <c r="E79" s="272">
        <f t="shared" ref="E79:J79" si="19">(D79*5%)+D79</f>
        <v>1.05</v>
      </c>
      <c r="F79" s="272">
        <f t="shared" si="19"/>
        <v>1.1025</v>
      </c>
      <c r="G79" s="272">
        <f t="shared" si="19"/>
        <v>1.1576250000000001</v>
      </c>
      <c r="H79" s="272">
        <f t="shared" si="19"/>
        <v>1.2155062500000002</v>
      </c>
      <c r="I79" s="272">
        <f t="shared" si="19"/>
        <v>1.2762815625000004</v>
      </c>
      <c r="J79" s="272">
        <f t="shared" si="19"/>
        <v>1.3400956406250004</v>
      </c>
    </row>
    <row r="80" spans="1:10" ht="15.75" customHeight="1">
      <c r="A80" s="71"/>
      <c r="B80" s="71"/>
      <c r="C80" s="71"/>
      <c r="D80" s="71"/>
      <c r="E80" s="71"/>
      <c r="F80" s="71"/>
      <c r="G80" s="71"/>
      <c r="H80" s="71"/>
      <c r="I80" s="71"/>
      <c r="J80" s="71"/>
    </row>
    <row r="81" spans="1:10" ht="15.75" customHeight="1">
      <c r="A81" s="74" t="s">
        <v>149</v>
      </c>
      <c r="B81" s="74" t="s">
        <v>122</v>
      </c>
      <c r="C81" s="74" t="s">
        <v>132</v>
      </c>
      <c r="D81" s="75" t="s">
        <v>152</v>
      </c>
      <c r="E81" s="75" t="s">
        <v>153</v>
      </c>
      <c r="F81" s="75" t="s">
        <v>154</v>
      </c>
      <c r="G81" s="75" t="s">
        <v>155</v>
      </c>
      <c r="H81" s="75" t="s">
        <v>156</v>
      </c>
      <c r="I81" s="75" t="s">
        <v>157</v>
      </c>
      <c r="J81" s="75" t="s">
        <v>158</v>
      </c>
    </row>
    <row r="82" spans="1:10" ht="15.75" customHeight="1">
      <c r="A82" s="76"/>
      <c r="B82" s="76"/>
      <c r="C82" s="76"/>
      <c r="D82" s="76"/>
      <c r="E82" s="76"/>
      <c r="F82" s="76"/>
      <c r="G82" s="76"/>
      <c r="H82" s="76"/>
      <c r="I82" s="76"/>
      <c r="J82" s="76"/>
    </row>
    <row r="83" spans="1:10" ht="15.75" customHeight="1">
      <c r="A83" s="79" t="s">
        <v>348</v>
      </c>
      <c r="B83" s="79"/>
      <c r="C83" s="79"/>
      <c r="D83" s="131"/>
      <c r="E83" s="131"/>
      <c r="F83" s="131"/>
      <c r="G83" s="131"/>
      <c r="H83" s="131"/>
      <c r="I83" s="76"/>
      <c r="J83" s="76"/>
    </row>
    <row r="84" spans="1:10" ht="15.75" customHeight="1">
      <c r="A84" s="325" t="s">
        <v>765</v>
      </c>
      <c r="B84" s="79"/>
      <c r="C84" s="79"/>
      <c r="D84" s="76"/>
      <c r="E84" s="76"/>
      <c r="F84" s="76"/>
      <c r="G84" s="76"/>
      <c r="H84" s="76"/>
      <c r="I84" s="76"/>
      <c r="J84" s="76"/>
    </row>
    <row r="85" spans="1:10" ht="15.75" customHeight="1">
      <c r="A85" s="325" t="s">
        <v>762</v>
      </c>
      <c r="B85" s="326" t="s">
        <v>766</v>
      </c>
      <c r="C85" s="50">
        <v>4000</v>
      </c>
      <c r="D85" s="78">
        <f>(((B60*100)*(1-'5.Closing Stock &amp; W Capital'!$D$17))/B70)*$C$85*D79</f>
        <v>21546000</v>
      </c>
      <c r="E85" s="78">
        <f>((((C60*100)*(1-'5.Closing Stock &amp; W Capital'!$D$17))+((B60*100)*'5.Closing Stock &amp; W Capital'!$D$17))/$B$70)*$C$85*E79</f>
        <v>23814000</v>
      </c>
      <c r="F85" s="78">
        <f>((((D60*100)*(1-'5.Closing Stock &amp; W Capital'!$D$17))+((C60*100)*'5.Closing Stock &amp; W Capital'!$D$17))/$B$70)*$C$85*F79</f>
        <v>25004700</v>
      </c>
      <c r="G85" s="78">
        <f>((((E60*100)*(1-'5.Closing Stock &amp; W Capital'!$D$17))+((D60*100)*'5.Closing Stock &amp; W Capital'!$D$17))/$B$70)*$C$85*G79</f>
        <v>26254935.000000004</v>
      </c>
      <c r="H85" s="78">
        <f>((((F60*100)*(1-'5.Closing Stock &amp; W Capital'!$D$17))+((E60*100)*'5.Closing Stock &amp; W Capital'!$D$17))/$B$70)*$C$85*H79</f>
        <v>27567681.750000004</v>
      </c>
      <c r="I85" s="78">
        <f>((((G60*100)*(1-'5.Closing Stock &amp; W Capital'!$D$17))+((F60*100)*'5.Closing Stock &amp; W Capital'!$D$17))/$B$70)*$C$85*I79</f>
        <v>28946065.83750001</v>
      </c>
      <c r="J85" s="78">
        <f>((((H60*100)*(1-'5.Closing Stock &amp; W Capital'!$D$17))+((G60*100)*'5.Closing Stock &amp; W Capital'!$D$17))/$B$70)*$C$85*J79</f>
        <v>30393369.129375011</v>
      </c>
    </row>
    <row r="86" spans="1:10" ht="15.75" customHeight="1">
      <c r="A86" s="325" t="s">
        <v>763</v>
      </c>
      <c r="B86" s="326" t="s">
        <v>611</v>
      </c>
      <c r="C86" s="50">
        <v>600</v>
      </c>
      <c r="D86" s="78">
        <f>(((B65*100)*(1-'5.Closing Stock &amp; W Capital'!D17))/$B$71)*$C$86*D79</f>
        <v>1782162</v>
      </c>
      <c r="E86" s="78">
        <f>((((C65*100)*(1-'5.Closing Stock &amp; W Capital'!$D$17))+((B65*100)*'5.Closing Stock &amp; W Capital'!$D$17))/$B$71)*$C$86*E79</f>
        <v>1969758</v>
      </c>
      <c r="F86" s="78">
        <f>((((D65*100)*(1-'5.Closing Stock &amp; W Capital'!$D$17))+((C65*100)*'5.Closing Stock &amp; W Capital'!$D$17))/$B$71)*$C$86*F79</f>
        <v>2068245.9000000001</v>
      </c>
      <c r="G86" s="78">
        <f>((((E65*100)*(1-'5.Closing Stock &amp; W Capital'!$D$17))+((D65*100)*'5.Closing Stock &amp; W Capital'!$D$17))/$B$71)*$C$86*G79</f>
        <v>2171658.1950000003</v>
      </c>
      <c r="H86" s="78">
        <f>((((F65*100)*(1-'5.Closing Stock &amp; W Capital'!$D$17))+((E65*100)*'5.Closing Stock &amp; W Capital'!$D$17))/$B$71)*$C$86*H79</f>
        <v>2280241.1047500004</v>
      </c>
      <c r="I86" s="78">
        <f>((((G65*100)*(1-'5.Closing Stock &amp; W Capital'!$D$17))+((F65*100)*'5.Closing Stock &amp; W Capital'!$D$17))/$B$71)*$C$86*I79</f>
        <v>2394253.1599875009</v>
      </c>
      <c r="J86" s="78">
        <f>((((H65*100)*(1-'5.Closing Stock &amp; W Capital'!$D$17))+((G65*100)*'5.Closing Stock &amp; W Capital'!$D$17))/$B$71)*$C$86*J79</f>
        <v>2513965.8179868758</v>
      </c>
    </row>
    <row r="87" spans="1:10" ht="15.75" customHeight="1">
      <c r="A87" s="76"/>
      <c r="B87" s="76"/>
      <c r="C87" s="76"/>
      <c r="D87" s="78"/>
      <c r="E87" s="78"/>
      <c r="F87" s="78"/>
      <c r="G87" s="78"/>
      <c r="H87" s="78"/>
      <c r="I87" s="78"/>
      <c r="J87" s="78"/>
    </row>
    <row r="88" spans="1:10" ht="15.75" customHeight="1">
      <c r="A88" s="76"/>
      <c r="B88" s="76"/>
      <c r="C88" s="76"/>
      <c r="D88" s="78"/>
      <c r="E88" s="78"/>
      <c r="F88" s="78"/>
      <c r="G88" s="78"/>
      <c r="H88" s="78"/>
      <c r="I88" s="78"/>
      <c r="J88" s="78"/>
    </row>
    <row r="89" spans="1:10" ht="15.75" customHeight="1">
      <c r="A89" s="79" t="s">
        <v>348</v>
      </c>
      <c r="B89" s="79"/>
      <c r="C89" s="79"/>
      <c r="D89" s="80">
        <f t="shared" ref="D89:J89" si="20">SUM(D85:D87)</f>
        <v>23328162</v>
      </c>
      <c r="E89" s="80">
        <f t="shared" si="20"/>
        <v>25783758</v>
      </c>
      <c r="F89" s="80">
        <f t="shared" si="20"/>
        <v>27072945.899999999</v>
      </c>
      <c r="G89" s="80">
        <f t="shared" si="20"/>
        <v>28426593.195000004</v>
      </c>
      <c r="H89" s="80">
        <f t="shared" si="20"/>
        <v>29847922.854750004</v>
      </c>
      <c r="I89" s="80">
        <f t="shared" si="20"/>
        <v>31340318.997487511</v>
      </c>
      <c r="J89" s="80">
        <f t="shared" si="20"/>
        <v>32907334.947361887</v>
      </c>
    </row>
    <row r="90" spans="1:10" ht="15.75" customHeight="1">
      <c r="A90" s="76"/>
      <c r="B90" s="76"/>
      <c r="C90" s="76"/>
      <c r="D90" s="78"/>
      <c r="E90" s="78"/>
      <c r="F90" s="78"/>
      <c r="G90" s="78"/>
      <c r="H90" s="78"/>
      <c r="I90" s="78"/>
      <c r="J90" s="78"/>
    </row>
    <row r="91" spans="1:10" ht="15.75" customHeight="1">
      <c r="A91" s="79" t="s">
        <v>587</v>
      </c>
      <c r="B91" s="79"/>
      <c r="C91" s="79"/>
      <c r="D91" s="78"/>
      <c r="E91" s="78"/>
      <c r="F91" s="78"/>
      <c r="G91" s="78"/>
      <c r="H91" s="78"/>
      <c r="I91" s="78"/>
      <c r="J91" s="78"/>
    </row>
    <row r="92" spans="1:10" ht="15.75" customHeight="1">
      <c r="A92" s="79" t="s">
        <v>355</v>
      </c>
      <c r="B92" s="79"/>
      <c r="C92" s="76"/>
      <c r="D92" s="78"/>
      <c r="E92" s="78"/>
      <c r="F92" s="78"/>
      <c r="G92" s="78"/>
      <c r="H92" s="78"/>
      <c r="I92" s="78"/>
      <c r="J92" s="78"/>
    </row>
    <row r="93" spans="1:10" ht="15.75" customHeight="1">
      <c r="A93" s="324" t="s">
        <v>761</v>
      </c>
      <c r="B93" s="305" t="s">
        <v>585</v>
      </c>
      <c r="C93" s="328">
        <v>7500</v>
      </c>
      <c r="D93" s="78">
        <f>(B39)*$C$93*D79</f>
        <v>12150000</v>
      </c>
      <c r="E93" s="78">
        <f t="shared" ref="E93:J93" si="21">(C39)*$C$93*E79</f>
        <v>12757500</v>
      </c>
      <c r="F93" s="78">
        <f t="shared" si="21"/>
        <v>13395375</v>
      </c>
      <c r="G93" s="78">
        <f t="shared" si="21"/>
        <v>14065143.750000002</v>
      </c>
      <c r="H93" s="78">
        <f t="shared" si="21"/>
        <v>14768400.937500004</v>
      </c>
      <c r="I93" s="78">
        <f t="shared" si="21"/>
        <v>15506820.984375004</v>
      </c>
      <c r="J93" s="78">
        <f t="shared" si="21"/>
        <v>16282162.033593755</v>
      </c>
    </row>
    <row r="94" spans="1:10" ht="15.75" customHeight="1">
      <c r="A94" s="324" t="s">
        <v>769</v>
      </c>
      <c r="B94" s="305">
        <v>20</v>
      </c>
      <c r="C94" s="305">
        <v>100</v>
      </c>
      <c r="D94" s="329">
        <f>(B39)*$B$94*$C$94*D79</f>
        <v>3240000</v>
      </c>
      <c r="E94" s="329">
        <f t="shared" ref="E94:J94" si="22">(C39)*$B$94*$C$94*E79</f>
        <v>3402000</v>
      </c>
      <c r="F94" s="329">
        <f t="shared" si="22"/>
        <v>3572100</v>
      </c>
      <c r="G94" s="329">
        <f t="shared" si="22"/>
        <v>3750705.0000000005</v>
      </c>
      <c r="H94" s="329">
        <f t="shared" si="22"/>
        <v>3938240.2500000009</v>
      </c>
      <c r="I94" s="329">
        <f t="shared" si="22"/>
        <v>4135152.2625000011</v>
      </c>
      <c r="J94" s="329">
        <f t="shared" si="22"/>
        <v>4341909.8756250013</v>
      </c>
    </row>
    <row r="95" spans="1:10" ht="15.75" customHeight="1">
      <c r="A95" s="324" t="s">
        <v>613</v>
      </c>
      <c r="B95" s="305">
        <v>19</v>
      </c>
      <c r="C95" s="305">
        <v>300</v>
      </c>
      <c r="D95" s="329">
        <f>(B12)*$B$95*$C$95*D79</f>
        <v>1846800</v>
      </c>
      <c r="E95" s="329">
        <f t="shared" ref="E95:J95" si="23">(C12)*$B$95*$C$95*E79</f>
        <v>1939140</v>
      </c>
      <c r="F95" s="329">
        <f t="shared" si="23"/>
        <v>2036097</v>
      </c>
      <c r="G95" s="329">
        <f t="shared" si="23"/>
        <v>2137901.85</v>
      </c>
      <c r="H95" s="329">
        <f t="shared" si="23"/>
        <v>2244796.9425000004</v>
      </c>
      <c r="I95" s="329">
        <f t="shared" si="23"/>
        <v>2357036.7896250007</v>
      </c>
      <c r="J95" s="329">
        <f t="shared" si="23"/>
        <v>2474888.6291062506</v>
      </c>
    </row>
    <row r="96" spans="1:10" ht="15.75" customHeight="1">
      <c r="A96" s="76" t="s">
        <v>589</v>
      </c>
      <c r="B96" s="76">
        <f>('2.Capex Details'!H38+'2.Capex Details'!H55)*0.746</f>
        <v>40.283999999999999</v>
      </c>
      <c r="C96" s="50">
        <v>10</v>
      </c>
      <c r="D96" s="78">
        <f t="shared" ref="D96:J96" si="24">$B$96*$C$96*B12*D79</f>
        <v>130520.15999999999</v>
      </c>
      <c r="E96" s="78">
        <f t="shared" si="24"/>
        <v>137046.16800000001</v>
      </c>
      <c r="F96" s="78">
        <f t="shared" si="24"/>
        <v>143898.47639999999</v>
      </c>
      <c r="G96" s="78">
        <f t="shared" si="24"/>
        <v>151093.40022000001</v>
      </c>
      <c r="H96" s="78">
        <f t="shared" si="24"/>
        <v>158648.07023100002</v>
      </c>
      <c r="I96" s="78">
        <f t="shared" si="24"/>
        <v>166580.47374255004</v>
      </c>
      <c r="J96" s="78">
        <f t="shared" si="24"/>
        <v>174909.49742967755</v>
      </c>
    </row>
    <row r="97" spans="1:10" ht="15.75" customHeight="1">
      <c r="A97" s="76" t="s">
        <v>614</v>
      </c>
      <c r="B97" s="76"/>
      <c r="C97" s="50">
        <v>10</v>
      </c>
      <c r="D97" s="78">
        <f t="shared" ref="D97:J97" si="25">((B35*100)/50)*$C$97*D79</f>
        <v>0</v>
      </c>
      <c r="E97" s="78">
        <f t="shared" si="25"/>
        <v>0</v>
      </c>
      <c r="F97" s="78">
        <f t="shared" si="25"/>
        <v>0</v>
      </c>
      <c r="G97" s="78">
        <f t="shared" si="25"/>
        <v>0</v>
      </c>
      <c r="H97" s="78">
        <f t="shared" si="25"/>
        <v>0</v>
      </c>
      <c r="I97" s="78">
        <f t="shared" si="25"/>
        <v>0</v>
      </c>
      <c r="J97" s="78">
        <f t="shared" si="25"/>
        <v>0</v>
      </c>
    </row>
    <row r="98" spans="1:10" ht="15.75" customHeight="1">
      <c r="A98" s="195" t="s">
        <v>615</v>
      </c>
      <c r="B98" s="195"/>
      <c r="C98" s="278">
        <v>20</v>
      </c>
      <c r="D98" s="78">
        <f>(((+B60+B65)*100)/2)*C98*D79</f>
        <v>1620000</v>
      </c>
      <c r="E98" s="78">
        <f>(((+C60+C65)*100)/2)*C98*E79</f>
        <v>1701000</v>
      </c>
      <c r="F98" s="78">
        <f>(((+D60+D65)*100)/2)*C98*F79</f>
        <v>1786050</v>
      </c>
      <c r="G98" s="78">
        <f>(((+E60+E65)*100)/2)*C98*G79</f>
        <v>1875352.5000000002</v>
      </c>
      <c r="H98" s="78">
        <f>(((+F60+F65)*100)/2)*C98*H79</f>
        <v>1969120.1250000005</v>
      </c>
      <c r="I98" s="78">
        <f>(((+G60+G65)*100)/2)*C98*I79</f>
        <v>2067576.1312500006</v>
      </c>
      <c r="J98" s="78">
        <f>(((+H60+H65)*100)/2)*C98*J79</f>
        <v>2170954.9378125006</v>
      </c>
    </row>
    <row r="99" spans="1:10" ht="15.75" customHeight="1">
      <c r="A99" s="76" t="s">
        <v>616</v>
      </c>
      <c r="B99" s="76"/>
      <c r="C99" s="50">
        <v>30</v>
      </c>
      <c r="D99" s="78">
        <f>(((+B60+B65)*100)/2)*C99*D79</f>
        <v>2430000</v>
      </c>
      <c r="E99" s="78">
        <f>(((+C60+C65)*100)/2)*C99*E79</f>
        <v>2551500</v>
      </c>
      <c r="F99" s="78">
        <f>(((+D60+D65)*100)/2)*C99*F79</f>
        <v>2679075</v>
      </c>
      <c r="G99" s="78">
        <f>(((+E60+E65)*100)/2)*C99*G79</f>
        <v>2813028.7500000005</v>
      </c>
      <c r="H99" s="78">
        <f>(((+F60+F65)*100)/2)*C99*H79</f>
        <v>2953680.1875000005</v>
      </c>
      <c r="I99" s="78">
        <f>(((+G60+G65)*100)/2)*C99*I79</f>
        <v>3101364.1968750008</v>
      </c>
      <c r="J99" s="78">
        <f>(((+H60+H65)*100)/2)*C99*J79</f>
        <v>3256432.4067187509</v>
      </c>
    </row>
    <row r="100" spans="1:10" ht="15.75" customHeight="1">
      <c r="A100" s="138"/>
      <c r="B100" s="138"/>
      <c r="C100" s="138"/>
      <c r="D100" s="138"/>
      <c r="E100" s="138"/>
      <c r="F100" s="138"/>
      <c r="G100" s="138"/>
      <c r="H100" s="138"/>
      <c r="I100" s="138"/>
      <c r="J100" s="138"/>
    </row>
    <row r="101" spans="1:10" ht="15.75" customHeight="1">
      <c r="A101" s="138"/>
      <c r="B101" s="138"/>
      <c r="C101" s="138"/>
      <c r="D101" s="138"/>
      <c r="E101" s="138"/>
      <c r="F101" s="138"/>
      <c r="G101" s="138"/>
      <c r="H101" s="138"/>
      <c r="I101" s="138"/>
      <c r="J101" s="138"/>
    </row>
    <row r="102" spans="1:10" ht="15.75" customHeight="1">
      <c r="A102" s="138"/>
      <c r="B102" s="138"/>
      <c r="C102" s="138"/>
      <c r="D102" s="138"/>
      <c r="E102" s="138"/>
      <c r="F102" s="138"/>
      <c r="G102" s="138"/>
      <c r="H102" s="138"/>
      <c r="I102" s="138"/>
      <c r="J102" s="138"/>
    </row>
    <row r="103" spans="1:10" ht="15.75" customHeight="1">
      <c r="A103" s="138"/>
      <c r="B103" s="138"/>
      <c r="C103" s="138"/>
      <c r="D103" s="138"/>
      <c r="E103" s="138"/>
      <c r="F103" s="138"/>
      <c r="G103" s="138"/>
      <c r="H103" s="138"/>
      <c r="I103" s="138"/>
      <c r="J103" s="138"/>
    </row>
    <row r="104" spans="1:10" ht="15.75" customHeight="1">
      <c r="A104" s="78" t="s">
        <v>592</v>
      </c>
      <c r="B104" s="78"/>
      <c r="C104" s="78"/>
      <c r="D104" s="78"/>
      <c r="E104" s="78">
        <f>'5.Closing Stock &amp; W Capital'!F8</f>
        <v>949366.00800000003</v>
      </c>
      <c r="F104" s="78">
        <f>'5.Closing Stock &amp; W Capital'!G8</f>
        <v>996834.3084000001</v>
      </c>
      <c r="G104" s="78">
        <f>'5.Closing Stock &amp; W Capital'!H8</f>
        <v>1046676.02382</v>
      </c>
      <c r="H104" s="78">
        <f>'5.Closing Stock &amp; W Capital'!I8</f>
        <v>1099009.8250110003</v>
      </c>
      <c r="I104" s="78">
        <f>'5.Closing Stock &amp; W Capital'!J8</f>
        <v>1153960.3162615502</v>
      </c>
      <c r="J104" s="78">
        <f>'5.Closing Stock &amp; W Capital'!K8</f>
        <v>1211658.3320746277</v>
      </c>
    </row>
    <row r="105" spans="1:10" ht="15.75" customHeight="1">
      <c r="A105" s="78" t="s">
        <v>593</v>
      </c>
      <c r="B105" s="78"/>
      <c r="C105" s="78"/>
      <c r="D105" s="78">
        <f>'5.Closing Stock &amp; W Capital'!E17</f>
        <v>949366.00800000003</v>
      </c>
      <c r="E105" s="78">
        <f>'5.Closing Stock &amp; W Capital'!F17</f>
        <v>996834.3084000001</v>
      </c>
      <c r="F105" s="78">
        <f>'5.Closing Stock &amp; W Capital'!G17</f>
        <v>1046676.02382</v>
      </c>
      <c r="G105" s="78">
        <f>'5.Closing Stock &amp; W Capital'!H17</f>
        <v>1099009.8250110003</v>
      </c>
      <c r="H105" s="78">
        <f>'5.Closing Stock &amp; W Capital'!I17</f>
        <v>1153960.3162615502</v>
      </c>
      <c r="I105" s="78">
        <f>'5.Closing Stock &amp; W Capital'!J17</f>
        <v>1211658.3320746277</v>
      </c>
      <c r="J105" s="78">
        <f>'5.Closing Stock &amp; W Capital'!K17</f>
        <v>1272241.2486783592</v>
      </c>
    </row>
    <row r="106" spans="1:10" ht="15.75" customHeight="1">
      <c r="A106" s="78"/>
      <c r="B106" s="78"/>
      <c r="C106" s="78"/>
      <c r="D106" s="78"/>
      <c r="E106" s="78"/>
      <c r="F106" s="78"/>
      <c r="G106" s="78"/>
      <c r="H106" s="78"/>
      <c r="I106" s="78"/>
      <c r="J106" s="78"/>
    </row>
    <row r="107" spans="1:10" ht="15.75" customHeight="1">
      <c r="A107" s="80" t="s">
        <v>356</v>
      </c>
      <c r="B107" s="78"/>
      <c r="C107" s="78"/>
      <c r="D107" s="80">
        <f t="shared" ref="D107:J107" si="26">SUM(D93:D104)-D105</f>
        <v>20467954.151999999</v>
      </c>
      <c r="E107" s="80">
        <f t="shared" si="26"/>
        <v>22440717.867600001</v>
      </c>
      <c r="F107" s="80">
        <f t="shared" si="26"/>
        <v>23562753.760979999</v>
      </c>
      <c r="G107" s="80">
        <f t="shared" si="26"/>
        <v>24740891.449029006</v>
      </c>
      <c r="H107" s="80">
        <f t="shared" si="26"/>
        <v>25977936.021480456</v>
      </c>
      <c r="I107" s="80">
        <f t="shared" si="26"/>
        <v>27276832.822554477</v>
      </c>
      <c r="J107" s="80">
        <f t="shared" si="26"/>
        <v>28640674.463682201</v>
      </c>
    </row>
    <row r="108" spans="1:10" ht="15.75" customHeight="1">
      <c r="A108" s="71"/>
      <c r="B108" s="71"/>
      <c r="C108" s="71"/>
      <c r="D108" s="71"/>
      <c r="E108" s="71"/>
      <c r="F108" s="71"/>
      <c r="G108" s="71"/>
      <c r="H108" s="71"/>
      <c r="I108" s="71"/>
      <c r="J108" s="71"/>
    </row>
    <row r="109" spans="1:10" ht="15.75" customHeight="1">
      <c r="A109" s="191" t="s">
        <v>357</v>
      </c>
      <c r="B109" s="191"/>
      <c r="C109" s="191"/>
      <c r="D109" s="80"/>
      <c r="E109" s="80"/>
      <c r="F109" s="80"/>
      <c r="G109" s="80"/>
      <c r="H109" s="80"/>
      <c r="I109" s="80"/>
      <c r="J109" s="80"/>
    </row>
    <row r="110" spans="1:10" ht="15.75" customHeight="1">
      <c r="A110" s="76" t="s">
        <v>594</v>
      </c>
      <c r="B110" s="50">
        <v>3</v>
      </c>
      <c r="C110" s="77">
        <v>25000</v>
      </c>
      <c r="D110" s="78">
        <f t="shared" ref="D110:J110" si="27">$B$110*$C$110*12*D79</f>
        <v>900000</v>
      </c>
      <c r="E110" s="78">
        <f t="shared" si="27"/>
        <v>945000</v>
      </c>
      <c r="F110" s="78">
        <f t="shared" si="27"/>
        <v>992250</v>
      </c>
      <c r="G110" s="78">
        <f t="shared" si="27"/>
        <v>1041862.5000000001</v>
      </c>
      <c r="H110" s="78">
        <f t="shared" si="27"/>
        <v>1093955.6250000002</v>
      </c>
      <c r="I110" s="78">
        <f t="shared" si="27"/>
        <v>1148653.4062500002</v>
      </c>
      <c r="J110" s="78">
        <f t="shared" si="27"/>
        <v>1206086.0765625003</v>
      </c>
    </row>
    <row r="111" spans="1:10" ht="15.75" customHeight="1">
      <c r="A111" s="76"/>
      <c r="B111" s="50"/>
      <c r="C111" s="77"/>
      <c r="D111" s="78"/>
      <c r="E111" s="78"/>
      <c r="F111" s="78"/>
      <c r="G111" s="78"/>
      <c r="H111" s="78"/>
      <c r="I111" s="78"/>
      <c r="J111" s="78"/>
    </row>
    <row r="112" spans="1:10" ht="15.75" customHeight="1">
      <c r="A112" s="76"/>
      <c r="B112" s="50"/>
      <c r="C112" s="77"/>
      <c r="D112" s="78"/>
      <c r="E112" s="78"/>
      <c r="F112" s="78"/>
      <c r="G112" s="78"/>
      <c r="H112" s="78"/>
      <c r="I112" s="78"/>
      <c r="J112" s="78"/>
    </row>
    <row r="113" spans="1:10" ht="15.75" customHeight="1">
      <c r="A113" s="76"/>
      <c r="B113" s="50"/>
      <c r="C113" s="77"/>
      <c r="D113" s="78"/>
      <c r="E113" s="78"/>
      <c r="F113" s="78"/>
      <c r="G113" s="78"/>
      <c r="H113" s="78"/>
      <c r="I113" s="78"/>
      <c r="J113" s="78"/>
    </row>
    <row r="114" spans="1:10" ht="15.75" customHeight="1">
      <c r="A114" s="76"/>
      <c r="B114" s="50"/>
      <c r="C114" s="77"/>
      <c r="D114" s="78"/>
      <c r="E114" s="78"/>
      <c r="F114" s="78"/>
      <c r="G114" s="78"/>
      <c r="H114" s="78"/>
      <c r="I114" s="78"/>
      <c r="J114" s="78"/>
    </row>
    <row r="115" spans="1:10" ht="15.75" customHeight="1">
      <c r="A115" s="79" t="s">
        <v>357</v>
      </c>
      <c r="B115" s="79"/>
      <c r="C115" s="79"/>
      <c r="D115" s="80">
        <f t="shared" ref="D115:J115" si="28">SUM(D110:D114)</f>
        <v>900000</v>
      </c>
      <c r="E115" s="80">
        <f t="shared" si="28"/>
        <v>945000</v>
      </c>
      <c r="F115" s="80">
        <f t="shared" si="28"/>
        <v>992250</v>
      </c>
      <c r="G115" s="80">
        <f t="shared" si="28"/>
        <v>1041862.5000000001</v>
      </c>
      <c r="H115" s="80">
        <f t="shared" si="28"/>
        <v>1093955.6250000002</v>
      </c>
      <c r="I115" s="80">
        <f t="shared" si="28"/>
        <v>1148653.4062500002</v>
      </c>
      <c r="J115" s="80">
        <f t="shared" si="28"/>
        <v>1206086.0765625003</v>
      </c>
    </row>
    <row r="116" spans="1:10" ht="15.75" customHeight="1">
      <c r="A116" s="191" t="s">
        <v>617</v>
      </c>
      <c r="B116" s="191"/>
      <c r="C116" s="191"/>
      <c r="D116" s="80">
        <f t="shared" ref="D116:J116" si="29">D107+D115</f>
        <v>21367954.151999999</v>
      </c>
      <c r="E116" s="80">
        <f t="shared" si="29"/>
        <v>23385717.867600001</v>
      </c>
      <c r="F116" s="80">
        <f t="shared" si="29"/>
        <v>24555003.760979999</v>
      </c>
      <c r="G116" s="80">
        <f t="shared" si="29"/>
        <v>25782753.949029006</v>
      </c>
      <c r="H116" s="80">
        <f t="shared" si="29"/>
        <v>27071891.646480456</v>
      </c>
      <c r="I116" s="80">
        <f t="shared" si="29"/>
        <v>28425486.228804477</v>
      </c>
      <c r="J116" s="80">
        <f t="shared" si="29"/>
        <v>29846760.540244702</v>
      </c>
    </row>
    <row r="117" spans="1:10" ht="15.75" customHeight="1">
      <c r="A117" s="76"/>
      <c r="B117" s="76"/>
      <c r="C117" s="76"/>
      <c r="D117" s="78"/>
      <c r="E117" s="78"/>
      <c r="F117" s="78"/>
      <c r="G117" s="78"/>
      <c r="H117" s="78"/>
      <c r="I117" s="78"/>
      <c r="J117" s="78"/>
    </row>
    <row r="118" spans="1:10" ht="15.75" customHeight="1">
      <c r="A118" s="79" t="s">
        <v>404</v>
      </c>
      <c r="B118" s="79"/>
      <c r="C118" s="79"/>
      <c r="D118" s="80">
        <f t="shared" ref="D118:J118" si="30">D89-D116</f>
        <v>1960207.8480000012</v>
      </c>
      <c r="E118" s="80">
        <f t="shared" si="30"/>
        <v>2398040.1323999986</v>
      </c>
      <c r="F118" s="80">
        <f t="shared" si="30"/>
        <v>2517942.1390199997</v>
      </c>
      <c r="G118" s="80">
        <f t="shared" si="30"/>
        <v>2643839.245970998</v>
      </c>
      <c r="H118" s="80">
        <f t="shared" si="30"/>
        <v>2776031.2082695477</v>
      </c>
      <c r="I118" s="80">
        <f t="shared" si="30"/>
        <v>2914832.7686830349</v>
      </c>
      <c r="J118" s="80">
        <f t="shared" si="30"/>
        <v>3060574.4071171843</v>
      </c>
    </row>
    <row r="119" spans="1:10" ht="15.75" customHeight="1">
      <c r="A119" s="96"/>
      <c r="B119" s="96"/>
      <c r="C119" s="96"/>
      <c r="D119" s="71"/>
      <c r="E119" s="71"/>
      <c r="F119" s="71"/>
      <c r="G119" s="71"/>
      <c r="H119" s="71"/>
      <c r="I119" s="71"/>
      <c r="J119" s="71"/>
    </row>
    <row r="120" spans="1:10" ht="15.75" customHeight="1">
      <c r="A120" s="71"/>
      <c r="B120" s="71"/>
      <c r="C120" s="71"/>
      <c r="D120" s="71"/>
      <c r="E120" s="71"/>
      <c r="F120" s="71"/>
      <c r="G120" s="71"/>
      <c r="H120" s="71"/>
      <c r="I120" s="71"/>
      <c r="J120" s="71"/>
    </row>
    <row r="121" spans="1:10" ht="15.75" customHeight="1">
      <c r="A121" s="71"/>
      <c r="B121" s="71"/>
      <c r="C121" s="71"/>
      <c r="D121" s="71"/>
      <c r="E121" s="71"/>
      <c r="F121" s="71"/>
      <c r="G121" s="71"/>
      <c r="H121" s="71"/>
      <c r="I121" s="71"/>
      <c r="J121" s="71"/>
    </row>
    <row r="122" spans="1:10" ht="15.75" customHeight="1">
      <c r="A122" s="353" t="s">
        <v>618</v>
      </c>
      <c r="B122" s="353"/>
      <c r="C122" s="353"/>
      <c r="D122" s="353"/>
      <c r="E122" s="353"/>
      <c r="F122" s="353"/>
      <c r="G122" s="353"/>
      <c r="H122" s="353"/>
      <c r="I122" s="353"/>
      <c r="J122" s="353"/>
    </row>
    <row r="123" spans="1:10" ht="15.75" customHeight="1"/>
    <row r="124" spans="1:10" ht="15.75" customHeight="1">
      <c r="A124" t="s">
        <v>313</v>
      </c>
    </row>
    <row r="125" spans="1:10" ht="15.75" customHeight="1">
      <c r="A125">
        <v>1</v>
      </c>
      <c r="B125" t="s">
        <v>599</v>
      </c>
    </row>
    <row r="126" spans="1:10" ht="15.75" customHeight="1">
      <c r="A126">
        <v>2</v>
      </c>
      <c r="B126" t="s">
        <v>600</v>
      </c>
    </row>
    <row r="127" spans="1:10" ht="15.75" customHeight="1">
      <c r="A127">
        <v>3</v>
      </c>
      <c r="B127" s="71" t="s">
        <v>601</v>
      </c>
    </row>
  </sheetData>
  <mergeCells count="4">
    <mergeCell ref="A77:J77"/>
    <mergeCell ref="A3:H3"/>
    <mergeCell ref="A122:J122"/>
    <mergeCell ref="A4:H4"/>
  </mergeCells>
  <pageMargins left="0.7" right="0.7" top="0.75" bottom="0.75" header="0" footer="0"/>
  <pageSetup paperSize="9" orientation="portrait" r:id="rId1"/>
  <colBreaks count="1" manualBreakCount="1">
    <brk id="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workbookViewId="0">
      <selection activeCell="L12" sqref="L12"/>
    </sheetView>
  </sheetViews>
  <sheetFormatPr defaultColWidth="14.44140625" defaultRowHeight="15" customHeight="1"/>
  <cols>
    <col min="1" max="1" width="30.44140625" customWidth="1"/>
    <col min="2" max="2" width="9.88671875" customWidth="1"/>
    <col min="3" max="3" width="11.109375" customWidth="1"/>
    <col min="4" max="10" width="9.5546875" customWidth="1"/>
    <col min="11" max="11" width="8.6640625" customWidth="1"/>
  </cols>
  <sheetData>
    <row r="2" spans="1:10" ht="17.399999999999999">
      <c r="A2" s="351" t="s">
        <v>619</v>
      </c>
      <c r="B2" s="335"/>
      <c r="C2" s="335"/>
      <c r="D2" s="335"/>
      <c r="E2" s="335"/>
      <c r="F2" s="335"/>
      <c r="G2" s="335"/>
      <c r="H2" s="335"/>
    </row>
    <row r="3" spans="1:10" ht="17.399999999999999">
      <c r="A3" s="351" t="s">
        <v>620</v>
      </c>
      <c r="B3" s="335"/>
      <c r="C3" s="335"/>
      <c r="D3" s="335"/>
      <c r="E3" s="335"/>
      <c r="F3" s="335"/>
      <c r="G3" s="335"/>
      <c r="H3" s="335"/>
    </row>
    <row r="4" spans="1:10" ht="14.4">
      <c r="A4" s="71" t="s">
        <v>130</v>
      </c>
      <c r="B4" s="279"/>
      <c r="C4" s="280" t="s">
        <v>621</v>
      </c>
      <c r="D4" s="280"/>
      <c r="E4" s="280"/>
      <c r="F4" s="280"/>
      <c r="G4" s="71"/>
      <c r="H4" s="71"/>
    </row>
    <row r="5" spans="1:10" ht="14.4">
      <c r="A5" s="71"/>
      <c r="B5" s="275"/>
      <c r="C5" s="71"/>
      <c r="D5" s="71"/>
      <c r="E5" s="71"/>
      <c r="F5" s="71"/>
      <c r="G5" s="71"/>
      <c r="H5" s="71"/>
    </row>
    <row r="6" spans="1:10" ht="14.4">
      <c r="A6" s="71" t="s">
        <v>622</v>
      </c>
      <c r="B6" s="281">
        <v>12</v>
      </c>
      <c r="C6" s="71"/>
      <c r="D6" s="281"/>
      <c r="E6" s="281"/>
      <c r="F6" s="71"/>
      <c r="G6" s="71"/>
      <c r="H6" s="71"/>
    </row>
    <row r="7" spans="1:10" ht="14.4">
      <c r="A7" s="71"/>
      <c r="B7" s="71"/>
      <c r="C7" s="281"/>
      <c r="D7" s="281"/>
      <c r="E7" s="281"/>
      <c r="F7" s="71"/>
      <c r="G7" s="71"/>
      <c r="H7" s="71"/>
    </row>
    <row r="8" spans="1:10" ht="14.4">
      <c r="A8" s="74" t="s">
        <v>82</v>
      </c>
      <c r="B8" s="75" t="s">
        <v>152</v>
      </c>
      <c r="C8" s="75" t="s">
        <v>153</v>
      </c>
      <c r="D8" s="75" t="s">
        <v>154</v>
      </c>
      <c r="E8" s="75" t="s">
        <v>155</v>
      </c>
      <c r="F8" s="75" t="s">
        <v>156</v>
      </c>
      <c r="G8" s="75" t="s">
        <v>157</v>
      </c>
      <c r="H8" s="75" t="s">
        <v>158</v>
      </c>
    </row>
    <row r="9" spans="1:10" ht="14.4">
      <c r="A9" s="76" t="s">
        <v>623</v>
      </c>
      <c r="B9" s="139">
        <v>0.8</v>
      </c>
      <c r="C9" s="139">
        <f t="shared" ref="C9:F9" si="0">B9+5%</f>
        <v>0.85000000000000009</v>
      </c>
      <c r="D9" s="139">
        <f t="shared" si="0"/>
        <v>0.90000000000000013</v>
      </c>
      <c r="E9" s="139">
        <f t="shared" si="0"/>
        <v>0.95000000000000018</v>
      </c>
      <c r="F9" s="139">
        <f t="shared" si="0"/>
        <v>1.0000000000000002</v>
      </c>
      <c r="G9" s="139">
        <f t="shared" ref="G9:H9" si="1">F9</f>
        <v>1.0000000000000002</v>
      </c>
      <c r="H9" s="139">
        <f t="shared" si="1"/>
        <v>1.0000000000000002</v>
      </c>
    </row>
    <row r="10" spans="1:10" ht="14.4">
      <c r="A10" s="79" t="s">
        <v>624</v>
      </c>
      <c r="B10" s="238">
        <f t="shared" ref="B10:H10" si="2">$B$4*B9*$B$6</f>
        <v>0</v>
      </c>
      <c r="C10" s="238">
        <f t="shared" si="2"/>
        <v>0</v>
      </c>
      <c r="D10" s="238">
        <f t="shared" si="2"/>
        <v>0</v>
      </c>
      <c r="E10" s="238">
        <f t="shared" si="2"/>
        <v>0</v>
      </c>
      <c r="F10" s="238">
        <f t="shared" si="2"/>
        <v>0</v>
      </c>
      <c r="G10" s="238">
        <f t="shared" si="2"/>
        <v>0</v>
      </c>
      <c r="H10" s="238">
        <f t="shared" si="2"/>
        <v>0</v>
      </c>
    </row>
    <row r="15" spans="1:10" ht="17.399999999999999">
      <c r="A15" s="351" t="s">
        <v>625</v>
      </c>
      <c r="B15" s="335"/>
      <c r="C15" s="335"/>
      <c r="D15" s="335"/>
      <c r="E15" s="335"/>
      <c r="F15" s="335"/>
      <c r="G15" s="335"/>
      <c r="H15" s="335"/>
      <c r="I15" s="335"/>
      <c r="J15" s="335"/>
    </row>
    <row r="16" spans="1:10" ht="14.4">
      <c r="A16" s="26"/>
      <c r="B16" s="26"/>
      <c r="C16" s="26"/>
      <c r="D16" s="26"/>
      <c r="E16" s="26"/>
      <c r="F16" s="26"/>
      <c r="G16" s="26"/>
      <c r="H16" s="26"/>
    </row>
    <row r="17" spans="1:10" ht="14.4">
      <c r="A17" s="71"/>
      <c r="B17" s="71"/>
      <c r="C17" s="71"/>
      <c r="D17" s="72">
        <v>1</v>
      </c>
      <c r="E17" s="73">
        <f t="shared" ref="E17:J17" si="3">(D17*5%)+D17</f>
        <v>1.05</v>
      </c>
      <c r="F17" s="73">
        <f t="shared" si="3"/>
        <v>1.1025</v>
      </c>
      <c r="G17" s="73">
        <f t="shared" si="3"/>
        <v>1.1576250000000001</v>
      </c>
      <c r="H17" s="73">
        <f t="shared" si="3"/>
        <v>1.2155062500000002</v>
      </c>
      <c r="I17" s="73">
        <f t="shared" si="3"/>
        <v>1.2762815625000004</v>
      </c>
      <c r="J17" s="73">
        <f t="shared" si="3"/>
        <v>1.3400956406250004</v>
      </c>
    </row>
    <row r="18" spans="1:10" ht="14.4">
      <c r="A18" s="74" t="s">
        <v>149</v>
      </c>
      <c r="B18" s="74" t="s">
        <v>122</v>
      </c>
      <c r="C18" s="74" t="s">
        <v>132</v>
      </c>
      <c r="D18" s="75" t="s">
        <v>152</v>
      </c>
      <c r="E18" s="75" t="s">
        <v>153</v>
      </c>
      <c r="F18" s="75" t="s">
        <v>154</v>
      </c>
      <c r="G18" s="75" t="s">
        <v>155</v>
      </c>
      <c r="H18" s="75" t="s">
        <v>156</v>
      </c>
      <c r="I18" s="75" t="s">
        <v>157</v>
      </c>
      <c r="J18" s="75" t="s">
        <v>158</v>
      </c>
    </row>
    <row r="19" spans="1:10" ht="14.4">
      <c r="A19" s="76"/>
      <c r="B19" s="76"/>
      <c r="C19" s="76"/>
      <c r="D19" s="76"/>
      <c r="E19" s="76"/>
      <c r="F19" s="76"/>
      <c r="G19" s="76"/>
      <c r="H19" s="76"/>
      <c r="I19" s="76"/>
      <c r="J19" s="76"/>
    </row>
    <row r="20" spans="1:10" ht="14.4">
      <c r="A20" s="79" t="s">
        <v>626</v>
      </c>
      <c r="B20" s="79"/>
      <c r="C20" s="79"/>
      <c r="D20" s="76"/>
      <c r="E20" s="76"/>
      <c r="F20" s="76"/>
      <c r="G20" s="76"/>
      <c r="H20" s="76"/>
      <c r="I20" s="76"/>
      <c r="J20" s="76"/>
    </row>
    <row r="21" spans="1:10" ht="15.75" customHeight="1">
      <c r="A21" s="76" t="s">
        <v>627</v>
      </c>
      <c r="B21" s="76"/>
      <c r="C21" s="77">
        <v>100</v>
      </c>
      <c r="D21" s="78">
        <f t="shared" ref="D21:J21" si="4">B10*$C$21*D17</f>
        <v>0</v>
      </c>
      <c r="E21" s="78">
        <f t="shared" si="4"/>
        <v>0</v>
      </c>
      <c r="F21" s="78">
        <f t="shared" si="4"/>
        <v>0</v>
      </c>
      <c r="G21" s="78">
        <f t="shared" si="4"/>
        <v>0</v>
      </c>
      <c r="H21" s="78">
        <f t="shared" si="4"/>
        <v>0</v>
      </c>
      <c r="I21" s="78">
        <f t="shared" si="4"/>
        <v>0</v>
      </c>
      <c r="J21" s="78">
        <f t="shared" si="4"/>
        <v>0</v>
      </c>
    </row>
    <row r="22" spans="1:10" ht="15.75" customHeight="1">
      <c r="A22" s="76"/>
      <c r="B22" s="76"/>
      <c r="C22" s="78"/>
      <c r="D22" s="78"/>
      <c r="E22" s="78"/>
      <c r="F22" s="78"/>
      <c r="G22" s="78"/>
      <c r="H22" s="78"/>
      <c r="I22" s="78"/>
      <c r="J22" s="78"/>
    </row>
    <row r="23" spans="1:10" ht="15.75" customHeight="1">
      <c r="A23" s="79" t="s">
        <v>354</v>
      </c>
      <c r="B23" s="79"/>
      <c r="C23" s="80"/>
      <c r="D23" s="78">
        <f t="shared" ref="D23:J23" si="5">SUM(D21)</f>
        <v>0</v>
      </c>
      <c r="E23" s="78">
        <f t="shared" si="5"/>
        <v>0</v>
      </c>
      <c r="F23" s="78">
        <f t="shared" si="5"/>
        <v>0</v>
      </c>
      <c r="G23" s="78">
        <f t="shared" si="5"/>
        <v>0</v>
      </c>
      <c r="H23" s="78">
        <f t="shared" si="5"/>
        <v>0</v>
      </c>
      <c r="I23" s="78">
        <f t="shared" si="5"/>
        <v>0</v>
      </c>
      <c r="J23" s="78">
        <f t="shared" si="5"/>
        <v>0</v>
      </c>
    </row>
    <row r="24" spans="1:10" ht="15.75" customHeight="1">
      <c r="A24" s="76"/>
      <c r="B24" s="76"/>
      <c r="C24" s="78"/>
      <c r="D24" s="78"/>
      <c r="E24" s="78"/>
      <c r="F24" s="78"/>
      <c r="G24" s="78"/>
      <c r="H24" s="78"/>
      <c r="I24" s="78"/>
      <c r="J24" s="78"/>
    </row>
    <row r="25" spans="1:10" ht="15.75" customHeight="1">
      <c r="A25" s="79" t="s">
        <v>587</v>
      </c>
      <c r="B25" s="79"/>
      <c r="C25" s="78"/>
      <c r="D25" s="78"/>
      <c r="E25" s="78"/>
      <c r="F25" s="78"/>
      <c r="G25" s="78"/>
      <c r="H25" s="78"/>
      <c r="I25" s="78"/>
      <c r="J25" s="78"/>
    </row>
    <row r="26" spans="1:10" ht="15.75" customHeight="1">
      <c r="A26" s="79" t="s">
        <v>355</v>
      </c>
      <c r="B26" s="79"/>
      <c r="C26" s="78"/>
      <c r="D26" s="78"/>
      <c r="E26" s="78"/>
      <c r="F26" s="78"/>
      <c r="G26" s="78"/>
      <c r="H26" s="78"/>
      <c r="I26" s="78"/>
      <c r="J26" s="78"/>
    </row>
    <row r="27" spans="1:10" ht="15.75" customHeight="1">
      <c r="A27" s="76" t="s">
        <v>628</v>
      </c>
      <c r="B27" s="50" t="s">
        <v>621</v>
      </c>
      <c r="C27" s="77">
        <v>15</v>
      </c>
      <c r="D27" s="78">
        <f t="shared" ref="D27:J27" si="6">$B$4*$C$27*D17*4</f>
        <v>0</v>
      </c>
      <c r="E27" s="78">
        <f t="shared" si="6"/>
        <v>0</v>
      </c>
      <c r="F27" s="78">
        <f t="shared" si="6"/>
        <v>0</v>
      </c>
      <c r="G27" s="78">
        <f t="shared" si="6"/>
        <v>0</v>
      </c>
      <c r="H27" s="78">
        <f t="shared" si="6"/>
        <v>0</v>
      </c>
      <c r="I27" s="78">
        <f t="shared" si="6"/>
        <v>0</v>
      </c>
      <c r="J27" s="78">
        <f t="shared" si="6"/>
        <v>0</v>
      </c>
    </row>
    <row r="28" spans="1:10" ht="15.75" customHeight="1">
      <c r="A28" s="76" t="s">
        <v>629</v>
      </c>
      <c r="B28" s="50" t="s">
        <v>621</v>
      </c>
      <c r="C28" s="77">
        <v>14</v>
      </c>
      <c r="D28" s="78">
        <f t="shared" ref="D28:J28" si="7">$B$4*$C$28*D17*12</f>
        <v>0</v>
      </c>
      <c r="E28" s="78">
        <f t="shared" si="7"/>
        <v>0</v>
      </c>
      <c r="F28" s="78">
        <f t="shared" si="7"/>
        <v>0</v>
      </c>
      <c r="G28" s="78">
        <f t="shared" si="7"/>
        <v>0</v>
      </c>
      <c r="H28" s="78">
        <f t="shared" si="7"/>
        <v>0</v>
      </c>
      <c r="I28" s="78">
        <f t="shared" si="7"/>
        <v>0</v>
      </c>
      <c r="J28" s="78">
        <f t="shared" si="7"/>
        <v>0</v>
      </c>
    </row>
    <row r="29" spans="1:10" ht="15.75" customHeight="1">
      <c r="A29" s="76" t="s">
        <v>630</v>
      </c>
      <c r="B29" s="50"/>
      <c r="C29" s="77">
        <f>B4*10</f>
        <v>0</v>
      </c>
      <c r="D29" s="78">
        <f t="shared" ref="D29:J29" si="8">$C$29*12*D17</f>
        <v>0</v>
      </c>
      <c r="E29" s="78">
        <f t="shared" si="8"/>
        <v>0</v>
      </c>
      <c r="F29" s="78">
        <f t="shared" si="8"/>
        <v>0</v>
      </c>
      <c r="G29" s="78">
        <f t="shared" si="8"/>
        <v>0</v>
      </c>
      <c r="H29" s="78">
        <f t="shared" si="8"/>
        <v>0</v>
      </c>
      <c r="I29" s="78">
        <f t="shared" si="8"/>
        <v>0</v>
      </c>
      <c r="J29" s="78">
        <f t="shared" si="8"/>
        <v>0</v>
      </c>
    </row>
    <row r="30" spans="1:10" ht="15.75" customHeight="1">
      <c r="A30" s="76"/>
      <c r="B30" s="50"/>
      <c r="C30" s="77"/>
      <c r="D30" s="78"/>
      <c r="E30" s="78"/>
      <c r="F30" s="78"/>
      <c r="G30" s="78"/>
      <c r="H30" s="78"/>
      <c r="I30" s="78"/>
      <c r="J30" s="78"/>
    </row>
    <row r="31" spans="1:10" ht="15.75" customHeight="1">
      <c r="A31" s="76"/>
      <c r="B31" s="50"/>
      <c r="C31" s="77"/>
      <c r="D31" s="78"/>
      <c r="E31" s="78"/>
      <c r="F31" s="78"/>
      <c r="G31" s="78"/>
      <c r="H31" s="78"/>
      <c r="I31" s="78"/>
      <c r="J31" s="78"/>
    </row>
    <row r="32" spans="1:10" ht="15.75" customHeight="1">
      <c r="A32" s="76"/>
      <c r="B32" s="50"/>
      <c r="C32" s="77"/>
      <c r="D32" s="78"/>
      <c r="E32" s="78"/>
      <c r="F32" s="78"/>
      <c r="G32" s="78"/>
      <c r="H32" s="78"/>
      <c r="I32" s="78"/>
      <c r="J32" s="78"/>
    </row>
    <row r="33" spans="1:10" ht="15.75" customHeight="1">
      <c r="A33" s="76"/>
      <c r="B33" s="50"/>
      <c r="C33" s="77"/>
      <c r="D33" s="78"/>
      <c r="E33" s="78"/>
      <c r="F33" s="78"/>
      <c r="G33" s="78"/>
      <c r="H33" s="78"/>
      <c r="I33" s="78"/>
      <c r="J33" s="78"/>
    </row>
    <row r="34" spans="1:10" ht="15.75" customHeight="1">
      <c r="A34" s="79" t="s">
        <v>356</v>
      </c>
      <c r="B34" s="55"/>
      <c r="C34" s="273"/>
      <c r="D34" s="80">
        <f t="shared" ref="D34:J34" si="9">SUM(D27:D33)</f>
        <v>0</v>
      </c>
      <c r="E34" s="80">
        <f t="shared" si="9"/>
        <v>0</v>
      </c>
      <c r="F34" s="80">
        <f t="shared" si="9"/>
        <v>0</v>
      </c>
      <c r="G34" s="80">
        <f t="shared" si="9"/>
        <v>0</v>
      </c>
      <c r="H34" s="80">
        <f t="shared" si="9"/>
        <v>0</v>
      </c>
      <c r="I34" s="80">
        <f t="shared" si="9"/>
        <v>0</v>
      </c>
      <c r="J34" s="80">
        <f t="shared" si="9"/>
        <v>0</v>
      </c>
    </row>
    <row r="35" spans="1:10" ht="15.75" customHeight="1">
      <c r="A35" s="79"/>
      <c r="B35" s="55"/>
      <c r="C35" s="273"/>
      <c r="D35" s="80"/>
      <c r="E35" s="80"/>
      <c r="F35" s="80"/>
      <c r="G35" s="80"/>
      <c r="H35" s="80"/>
      <c r="I35" s="80"/>
      <c r="J35" s="80"/>
    </row>
    <row r="36" spans="1:10" ht="15.75" customHeight="1">
      <c r="A36" s="79" t="s">
        <v>357</v>
      </c>
      <c r="B36" s="50"/>
      <c r="C36" s="77"/>
      <c r="D36" s="78"/>
      <c r="E36" s="78"/>
      <c r="F36" s="78"/>
      <c r="G36" s="78"/>
      <c r="H36" s="78"/>
      <c r="I36" s="78"/>
      <c r="J36" s="78"/>
    </row>
    <row r="37" spans="1:10" ht="15.75" customHeight="1">
      <c r="A37" s="76" t="s">
        <v>631</v>
      </c>
      <c r="B37" s="50">
        <v>1</v>
      </c>
      <c r="C37" s="77"/>
      <c r="D37" s="78">
        <f t="shared" ref="D37:J37" si="10">$B$37*$C$37*D17*12</f>
        <v>0</v>
      </c>
      <c r="E37" s="78">
        <f t="shared" si="10"/>
        <v>0</v>
      </c>
      <c r="F37" s="78">
        <f t="shared" si="10"/>
        <v>0</v>
      </c>
      <c r="G37" s="78">
        <f t="shared" si="10"/>
        <v>0</v>
      </c>
      <c r="H37" s="78">
        <f t="shared" si="10"/>
        <v>0</v>
      </c>
      <c r="I37" s="78">
        <f t="shared" si="10"/>
        <v>0</v>
      </c>
      <c r="J37" s="78">
        <f t="shared" si="10"/>
        <v>0</v>
      </c>
    </row>
    <row r="38" spans="1:10" ht="15.75" customHeight="1">
      <c r="A38" s="76"/>
      <c r="B38" s="50"/>
      <c r="C38" s="77"/>
      <c r="D38" s="78"/>
      <c r="E38" s="78"/>
      <c r="F38" s="78"/>
      <c r="G38" s="78"/>
      <c r="H38" s="78"/>
      <c r="I38" s="78"/>
      <c r="J38" s="78"/>
    </row>
    <row r="39" spans="1:10" ht="15.75" customHeight="1">
      <c r="A39" s="76"/>
      <c r="B39" s="50"/>
      <c r="C39" s="77"/>
      <c r="D39" s="78"/>
      <c r="E39" s="78"/>
      <c r="F39" s="78"/>
      <c r="G39" s="78"/>
      <c r="H39" s="78"/>
      <c r="I39" s="78"/>
      <c r="J39" s="78"/>
    </row>
    <row r="40" spans="1:10" ht="15.75" customHeight="1">
      <c r="A40" s="76"/>
      <c r="B40" s="50"/>
      <c r="C40" s="77"/>
      <c r="D40" s="78"/>
      <c r="E40" s="78"/>
      <c r="F40" s="78"/>
      <c r="G40" s="78"/>
      <c r="H40" s="78"/>
      <c r="I40" s="78"/>
      <c r="J40" s="78"/>
    </row>
    <row r="41" spans="1:10" ht="15.75" customHeight="1">
      <c r="A41" s="76"/>
      <c r="B41" s="50"/>
      <c r="C41" s="77"/>
      <c r="D41" s="78"/>
      <c r="E41" s="78"/>
      <c r="F41" s="78"/>
      <c r="G41" s="78"/>
      <c r="H41" s="78"/>
      <c r="I41" s="78"/>
      <c r="J41" s="78"/>
    </row>
    <row r="42" spans="1:10" ht="15.75" customHeight="1">
      <c r="A42" s="76"/>
      <c r="B42" s="50"/>
      <c r="C42" s="77"/>
      <c r="D42" s="78"/>
      <c r="E42" s="78"/>
      <c r="F42" s="78"/>
      <c r="G42" s="78"/>
      <c r="H42" s="78"/>
      <c r="I42" s="78"/>
      <c r="J42" s="78"/>
    </row>
    <row r="43" spans="1:10" ht="15.75" customHeight="1">
      <c r="A43" s="79" t="s">
        <v>359</v>
      </c>
      <c r="B43" s="79"/>
      <c r="C43" s="80"/>
      <c r="D43" s="80">
        <f t="shared" ref="D43:J43" si="11">SUM(D37:D42)</f>
        <v>0</v>
      </c>
      <c r="E43" s="80">
        <f t="shared" si="11"/>
        <v>0</v>
      </c>
      <c r="F43" s="80">
        <f t="shared" si="11"/>
        <v>0</v>
      </c>
      <c r="G43" s="80">
        <f t="shared" si="11"/>
        <v>0</v>
      </c>
      <c r="H43" s="80">
        <f t="shared" si="11"/>
        <v>0</v>
      </c>
      <c r="I43" s="80">
        <f t="shared" si="11"/>
        <v>0</v>
      </c>
      <c r="J43" s="80">
        <f t="shared" si="11"/>
        <v>0</v>
      </c>
    </row>
    <row r="44" spans="1:10" ht="15.75" customHeight="1">
      <c r="A44" s="79"/>
      <c r="B44" s="79"/>
      <c r="C44" s="80"/>
      <c r="D44" s="80"/>
      <c r="E44" s="80"/>
      <c r="F44" s="80"/>
      <c r="G44" s="80"/>
      <c r="H44" s="80"/>
      <c r="I44" s="80"/>
      <c r="J44" s="80"/>
    </row>
    <row r="45" spans="1:10" ht="15.75" customHeight="1">
      <c r="A45" s="79" t="s">
        <v>595</v>
      </c>
      <c r="B45" s="79"/>
      <c r="C45" s="80"/>
      <c r="D45" s="80">
        <f t="shared" ref="D45:J45" si="12">D34+D43</f>
        <v>0</v>
      </c>
      <c r="E45" s="80">
        <f t="shared" si="12"/>
        <v>0</v>
      </c>
      <c r="F45" s="80">
        <f t="shared" si="12"/>
        <v>0</v>
      </c>
      <c r="G45" s="80">
        <f t="shared" si="12"/>
        <v>0</v>
      </c>
      <c r="H45" s="80">
        <f t="shared" si="12"/>
        <v>0</v>
      </c>
      <c r="I45" s="80">
        <f t="shared" si="12"/>
        <v>0</v>
      </c>
      <c r="J45" s="80">
        <f t="shared" si="12"/>
        <v>0</v>
      </c>
    </row>
    <row r="46" spans="1:10" ht="15.75" customHeight="1">
      <c r="A46" s="76"/>
      <c r="B46" s="76"/>
      <c r="C46" s="78"/>
      <c r="D46" s="78"/>
      <c r="E46" s="78"/>
      <c r="F46" s="78"/>
      <c r="G46" s="78"/>
      <c r="H46" s="78"/>
      <c r="I46" s="78"/>
      <c r="J46" s="78"/>
    </row>
    <row r="47" spans="1:10" ht="15.75" customHeight="1">
      <c r="A47" s="79" t="s">
        <v>632</v>
      </c>
      <c r="B47" s="79"/>
      <c r="C47" s="80"/>
      <c r="D47" s="80">
        <f t="shared" ref="D47:J47" si="13">D23-D45</f>
        <v>0</v>
      </c>
      <c r="E47" s="80">
        <f t="shared" si="13"/>
        <v>0</v>
      </c>
      <c r="F47" s="80">
        <f t="shared" si="13"/>
        <v>0</v>
      </c>
      <c r="G47" s="80">
        <f t="shared" si="13"/>
        <v>0</v>
      </c>
      <c r="H47" s="80">
        <f t="shared" si="13"/>
        <v>0</v>
      </c>
      <c r="I47" s="80">
        <f t="shared" si="13"/>
        <v>0</v>
      </c>
      <c r="J47" s="80">
        <f t="shared" si="13"/>
        <v>0</v>
      </c>
    </row>
    <row r="48" spans="1:10" ht="15.75" customHeight="1">
      <c r="A48" s="71"/>
      <c r="B48" s="71"/>
      <c r="C48" s="71"/>
      <c r="D48" s="71"/>
      <c r="E48" s="71"/>
      <c r="F48" s="71"/>
      <c r="G48" s="71"/>
      <c r="H48" s="71"/>
      <c r="I48" s="71"/>
      <c r="J48" s="71"/>
    </row>
    <row r="49" spans="1:10" ht="15.75" customHeight="1">
      <c r="A49" s="71"/>
    </row>
    <row r="50" spans="1:10" ht="15.75" customHeight="1"/>
    <row r="51" spans="1:10" ht="15.75" customHeight="1">
      <c r="A51" s="353" t="s">
        <v>618</v>
      </c>
      <c r="B51" s="335"/>
      <c r="C51" s="335"/>
      <c r="D51" s="335"/>
      <c r="E51" s="335"/>
      <c r="F51" s="335"/>
      <c r="G51" s="335"/>
      <c r="H51" s="335"/>
      <c r="I51" s="335"/>
      <c r="J51" s="335"/>
    </row>
    <row r="52" spans="1:10" ht="15.75" customHeight="1"/>
    <row r="53" spans="1:10" ht="15.75" customHeight="1">
      <c r="A53" t="s">
        <v>313</v>
      </c>
    </row>
    <row r="54" spans="1:10" ht="15.75" customHeight="1">
      <c r="A54">
        <v>1</v>
      </c>
      <c r="B54" t="s">
        <v>599</v>
      </c>
    </row>
    <row r="55" spans="1:10" ht="15.75" customHeight="1">
      <c r="A55">
        <v>2</v>
      </c>
      <c r="B55" t="s">
        <v>600</v>
      </c>
    </row>
    <row r="56" spans="1:10" ht="15.75" customHeight="1">
      <c r="A56">
        <v>3</v>
      </c>
      <c r="B56" s="71" t="s">
        <v>601</v>
      </c>
    </row>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ageMargins left="0.7" right="0.7" top="0.75" bottom="0.75" header="0" footer="0"/>
  <pageSetup paperSize="9" orientation="portrait" r:id="rId1"/>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00"/>
  <sheetViews>
    <sheetView workbookViewId="0"/>
  </sheetViews>
  <sheetFormatPr defaultColWidth="14.44140625" defaultRowHeight="15" customHeight="1"/>
  <cols>
    <col min="1" max="2" width="29.44140625" customWidth="1"/>
    <col min="3" max="3" width="12.109375" customWidth="1"/>
    <col min="4" max="4" width="10.44140625" customWidth="1"/>
    <col min="5" max="5" width="13.44140625" customWidth="1"/>
    <col min="6" max="6" width="14" customWidth="1"/>
    <col min="7" max="7" width="13.44140625" customWidth="1"/>
    <col min="8" max="9" width="14" customWidth="1"/>
    <col min="10" max="11" width="14.44140625" customWidth="1"/>
    <col min="12" max="12" width="12.109375" customWidth="1"/>
    <col min="13" max="13" width="16" customWidth="1"/>
    <col min="14" max="14" width="23.33203125" customWidth="1"/>
    <col min="15" max="16" width="8.6640625" customWidth="1"/>
  </cols>
  <sheetData>
    <row r="3" spans="1:13" ht="17.399999999999999">
      <c r="A3" s="351" t="s">
        <v>633</v>
      </c>
      <c r="B3" s="335"/>
      <c r="C3" s="335"/>
      <c r="D3" s="335"/>
      <c r="E3" s="335"/>
      <c r="F3" s="335"/>
      <c r="G3" s="335"/>
      <c r="H3" s="335"/>
      <c r="I3" s="335"/>
      <c r="J3" s="335"/>
      <c r="K3" s="335"/>
      <c r="L3" s="335"/>
    </row>
    <row r="4" spans="1:13" ht="17.399999999999999">
      <c r="A4" s="351" t="s">
        <v>634</v>
      </c>
      <c r="B4" s="335"/>
      <c r="C4" s="335"/>
      <c r="D4" s="335"/>
      <c r="E4" s="335"/>
      <c r="F4" s="335"/>
      <c r="G4" s="335"/>
      <c r="H4" s="335"/>
      <c r="I4" s="335"/>
      <c r="J4" s="335"/>
      <c r="K4" s="335"/>
      <c r="L4" s="335"/>
    </row>
    <row r="5" spans="1:13" ht="14.4">
      <c r="A5" s="71"/>
      <c r="B5" s="71"/>
      <c r="C5" s="71"/>
    </row>
    <row r="6" spans="1:13" ht="14.4">
      <c r="A6" s="71"/>
      <c r="B6" s="71"/>
      <c r="C6" s="71"/>
    </row>
    <row r="7" spans="1:13" ht="43.2">
      <c r="A7" s="242" t="s">
        <v>81</v>
      </c>
      <c r="B7" s="251" t="s">
        <v>635</v>
      </c>
      <c r="C7" s="251" t="s">
        <v>636</v>
      </c>
      <c r="D7" s="251" t="s">
        <v>637</v>
      </c>
      <c r="E7" s="251" t="s">
        <v>638</v>
      </c>
      <c r="F7" s="251" t="s">
        <v>639</v>
      </c>
      <c r="G7" s="251" t="s">
        <v>640</v>
      </c>
      <c r="H7" s="251" t="s">
        <v>641</v>
      </c>
      <c r="I7" s="251" t="s">
        <v>642</v>
      </c>
      <c r="J7" s="282" t="s">
        <v>643</v>
      </c>
      <c r="K7" s="251" t="s">
        <v>644</v>
      </c>
      <c r="L7" s="282" t="s">
        <v>645</v>
      </c>
      <c r="M7" s="251" t="s">
        <v>646</v>
      </c>
    </row>
    <row r="8" spans="1:13" ht="14.4">
      <c r="A8" s="283">
        <v>1</v>
      </c>
      <c r="B8" s="245" t="s">
        <v>647</v>
      </c>
      <c r="C8" s="245"/>
      <c r="D8" s="245"/>
      <c r="E8" s="245">
        <v>6</v>
      </c>
      <c r="F8" s="138">
        <f t="shared" ref="F8:F17" si="0">D8*E8*C8</f>
        <v>0</v>
      </c>
      <c r="G8" s="245">
        <v>4</v>
      </c>
      <c r="H8" s="138">
        <f t="shared" ref="H8:H12" si="1">F8/G8</f>
        <v>0</v>
      </c>
      <c r="I8" s="245">
        <v>12</v>
      </c>
      <c r="J8" s="138">
        <f t="shared" ref="J8:J17" si="2">H8*I8</f>
        <v>0</v>
      </c>
      <c r="K8" s="245">
        <v>3000</v>
      </c>
      <c r="L8" s="245">
        <v>1</v>
      </c>
      <c r="M8" s="138">
        <f t="shared" ref="M8:M17" si="3">D8*L8</f>
        <v>0</v>
      </c>
    </row>
    <row r="9" spans="1:13" ht="14.4">
      <c r="A9" s="283">
        <v>2</v>
      </c>
      <c r="B9" s="245" t="s">
        <v>648</v>
      </c>
      <c r="C9" s="245"/>
      <c r="D9" s="245"/>
      <c r="E9" s="245">
        <v>6</v>
      </c>
      <c r="F9" s="138">
        <f t="shared" si="0"/>
        <v>0</v>
      </c>
      <c r="G9" s="245">
        <v>2</v>
      </c>
      <c r="H9" s="138">
        <f t="shared" si="1"/>
        <v>0</v>
      </c>
      <c r="I9" s="245">
        <v>8</v>
      </c>
      <c r="J9" s="138">
        <f t="shared" si="2"/>
        <v>0</v>
      </c>
      <c r="K9" s="245">
        <v>1800</v>
      </c>
      <c r="L9" s="245">
        <v>1</v>
      </c>
      <c r="M9" s="138">
        <f t="shared" si="3"/>
        <v>0</v>
      </c>
    </row>
    <row r="10" spans="1:13" ht="14.4">
      <c r="A10" s="283">
        <v>3</v>
      </c>
      <c r="B10" s="245" t="s">
        <v>649</v>
      </c>
      <c r="C10" s="245"/>
      <c r="D10" s="245"/>
      <c r="E10" s="245">
        <v>6</v>
      </c>
      <c r="F10" s="138">
        <f t="shared" si="0"/>
        <v>0</v>
      </c>
      <c r="G10" s="245">
        <v>2</v>
      </c>
      <c r="H10" s="138">
        <f t="shared" si="1"/>
        <v>0</v>
      </c>
      <c r="I10" s="245">
        <v>8</v>
      </c>
      <c r="J10" s="138">
        <f t="shared" si="2"/>
        <v>0</v>
      </c>
      <c r="K10" s="245">
        <v>1800</v>
      </c>
      <c r="L10" s="245">
        <v>1</v>
      </c>
      <c r="M10" s="138">
        <f t="shared" si="3"/>
        <v>0</v>
      </c>
    </row>
    <row r="11" spans="1:13" ht="14.4">
      <c r="A11" s="283">
        <v>4</v>
      </c>
      <c r="B11" s="245" t="s">
        <v>650</v>
      </c>
      <c r="C11" s="245"/>
      <c r="D11" s="245"/>
      <c r="E11" s="245">
        <v>6</v>
      </c>
      <c r="F11" s="138">
        <f t="shared" si="0"/>
        <v>0</v>
      </c>
      <c r="G11" s="245">
        <v>2</v>
      </c>
      <c r="H11" s="138">
        <f t="shared" si="1"/>
        <v>0</v>
      </c>
      <c r="I11" s="245">
        <v>4</v>
      </c>
      <c r="J11" s="138">
        <f t="shared" si="2"/>
        <v>0</v>
      </c>
      <c r="K11" s="245">
        <v>1200</v>
      </c>
      <c r="L11" s="245">
        <v>1</v>
      </c>
      <c r="M11" s="138">
        <f t="shared" si="3"/>
        <v>0</v>
      </c>
    </row>
    <row r="12" spans="1:13" ht="14.4">
      <c r="A12" s="283">
        <v>5</v>
      </c>
      <c r="B12" s="245" t="s">
        <v>651</v>
      </c>
      <c r="C12" s="245"/>
      <c r="D12" s="245"/>
      <c r="E12" s="245">
        <v>6</v>
      </c>
      <c r="F12" s="138">
        <f t="shared" si="0"/>
        <v>0</v>
      </c>
      <c r="G12" s="245">
        <v>2</v>
      </c>
      <c r="H12" s="138">
        <f t="shared" si="1"/>
        <v>0</v>
      </c>
      <c r="I12" s="245">
        <v>10</v>
      </c>
      <c r="J12" s="138">
        <f t="shared" si="2"/>
        <v>0</v>
      </c>
      <c r="K12" s="245">
        <v>3000</v>
      </c>
      <c r="L12" s="245">
        <v>1</v>
      </c>
      <c r="M12" s="138">
        <f t="shared" si="3"/>
        <v>0</v>
      </c>
    </row>
    <row r="13" spans="1:13" ht="14.4">
      <c r="A13" s="283">
        <v>6</v>
      </c>
      <c r="B13" s="138"/>
      <c r="C13" s="138"/>
      <c r="D13" s="138"/>
      <c r="E13" s="138"/>
      <c r="F13" s="138">
        <f t="shared" si="0"/>
        <v>0</v>
      </c>
      <c r="G13" s="138">
        <v>0</v>
      </c>
      <c r="H13" s="245"/>
      <c r="I13" s="138"/>
      <c r="J13" s="138">
        <f t="shared" si="2"/>
        <v>0</v>
      </c>
      <c r="K13" s="138"/>
      <c r="L13" s="138"/>
      <c r="M13" s="138">
        <f t="shared" si="3"/>
        <v>0</v>
      </c>
    </row>
    <row r="14" spans="1:13" ht="14.4">
      <c r="A14" s="283">
        <v>7</v>
      </c>
      <c r="B14" s="138"/>
      <c r="C14" s="138"/>
      <c r="D14" s="138"/>
      <c r="E14" s="138"/>
      <c r="F14" s="138">
        <f t="shared" si="0"/>
        <v>0</v>
      </c>
      <c r="G14" s="138">
        <v>0</v>
      </c>
      <c r="H14" s="245"/>
      <c r="I14" s="138"/>
      <c r="J14" s="138">
        <f t="shared" si="2"/>
        <v>0</v>
      </c>
      <c r="K14" s="138"/>
      <c r="L14" s="138"/>
      <c r="M14" s="138">
        <f t="shared" si="3"/>
        <v>0</v>
      </c>
    </row>
    <row r="15" spans="1:13" ht="14.4">
      <c r="A15" s="283">
        <v>8</v>
      </c>
      <c r="B15" s="138"/>
      <c r="C15" s="138"/>
      <c r="D15" s="138"/>
      <c r="E15" s="138"/>
      <c r="F15" s="138">
        <f t="shared" si="0"/>
        <v>0</v>
      </c>
      <c r="G15" s="138">
        <v>0</v>
      </c>
      <c r="H15" s="245"/>
      <c r="I15" s="138"/>
      <c r="J15" s="138">
        <f t="shared" si="2"/>
        <v>0</v>
      </c>
      <c r="K15" s="138"/>
      <c r="L15" s="138"/>
      <c r="M15" s="138">
        <f t="shared" si="3"/>
        <v>0</v>
      </c>
    </row>
    <row r="16" spans="1:13" ht="14.4">
      <c r="A16" s="283">
        <v>9</v>
      </c>
      <c r="B16" s="138"/>
      <c r="C16" s="138"/>
      <c r="D16" s="138"/>
      <c r="E16" s="138"/>
      <c r="F16" s="138">
        <f t="shared" si="0"/>
        <v>0</v>
      </c>
      <c r="G16" s="138">
        <v>0</v>
      </c>
      <c r="H16" s="245"/>
      <c r="I16" s="138"/>
      <c r="J16" s="138">
        <f t="shared" si="2"/>
        <v>0</v>
      </c>
      <c r="K16" s="138"/>
      <c r="L16" s="138"/>
      <c r="M16" s="138">
        <f t="shared" si="3"/>
        <v>0</v>
      </c>
    </row>
    <row r="17" spans="1:16" ht="14.4">
      <c r="A17" s="283">
        <v>10</v>
      </c>
      <c r="B17" s="138"/>
      <c r="C17" s="138"/>
      <c r="D17" s="138"/>
      <c r="E17" s="138"/>
      <c r="F17" s="138">
        <f t="shared" si="0"/>
        <v>0</v>
      </c>
      <c r="G17" s="138">
        <v>0</v>
      </c>
      <c r="H17" s="245"/>
      <c r="I17" s="138"/>
      <c r="J17" s="138">
        <f t="shared" si="2"/>
        <v>0</v>
      </c>
      <c r="K17" s="138"/>
      <c r="L17" s="138"/>
      <c r="M17" s="138">
        <f t="shared" si="3"/>
        <v>0</v>
      </c>
    </row>
    <row r="18" spans="1:16" ht="14.4">
      <c r="A18" s="48"/>
      <c r="B18" s="48"/>
      <c r="C18" s="82"/>
      <c r="D18" s="82"/>
      <c r="E18" s="82"/>
      <c r="F18" s="82"/>
      <c r="G18" s="82"/>
      <c r="H18" s="82"/>
      <c r="I18" s="82"/>
      <c r="J18" s="82"/>
      <c r="K18" s="82"/>
      <c r="L18" s="82"/>
      <c r="M18" s="82"/>
    </row>
    <row r="19" spans="1:16" ht="14.4">
      <c r="A19" s="48"/>
      <c r="B19" s="48"/>
      <c r="C19" s="82"/>
      <c r="D19" s="82"/>
      <c r="E19" s="82"/>
      <c r="F19" s="82"/>
      <c r="G19" s="82"/>
      <c r="H19" s="82"/>
      <c r="I19" s="82"/>
      <c r="J19" s="82"/>
      <c r="K19" s="82"/>
      <c r="L19" s="82"/>
      <c r="M19" s="82"/>
    </row>
    <row r="21" spans="1:16" ht="15.75" customHeight="1">
      <c r="A21" s="351" t="s">
        <v>652</v>
      </c>
      <c r="B21" s="335"/>
      <c r="C21" s="335"/>
      <c r="D21" s="335"/>
      <c r="E21" s="335"/>
      <c r="F21" s="335"/>
      <c r="G21" s="335"/>
      <c r="H21" s="335"/>
      <c r="I21" s="335"/>
      <c r="J21" s="335"/>
      <c r="K21" s="335"/>
    </row>
    <row r="22" spans="1:16" ht="15.75" customHeight="1"/>
    <row r="23" spans="1:16" ht="15.75" customHeight="1">
      <c r="A23" s="71"/>
      <c r="B23" s="71"/>
      <c r="C23" s="71"/>
      <c r="D23" s="71"/>
      <c r="E23" s="72">
        <v>1</v>
      </c>
      <c r="F23" s="73">
        <f t="shared" ref="F23:K23" si="4">(E23*5%)+E23</f>
        <v>1.05</v>
      </c>
      <c r="G23" s="73">
        <f t="shared" si="4"/>
        <v>1.1025</v>
      </c>
      <c r="H23" s="73">
        <f t="shared" si="4"/>
        <v>1.1576250000000001</v>
      </c>
      <c r="I23" s="73">
        <f t="shared" si="4"/>
        <v>1.2155062500000002</v>
      </c>
      <c r="J23" s="73">
        <f t="shared" si="4"/>
        <v>1.2762815625000004</v>
      </c>
      <c r="K23" s="73">
        <f t="shared" si="4"/>
        <v>1.3400956406250004</v>
      </c>
    </row>
    <row r="24" spans="1:16" ht="15.75" customHeight="1">
      <c r="A24" s="74" t="s">
        <v>149</v>
      </c>
      <c r="B24" s="74" t="s">
        <v>122</v>
      </c>
      <c r="C24" s="74" t="s">
        <v>123</v>
      </c>
      <c r="D24" s="74" t="s">
        <v>132</v>
      </c>
      <c r="E24" s="75" t="s">
        <v>152</v>
      </c>
      <c r="F24" s="75" t="s">
        <v>153</v>
      </c>
      <c r="G24" s="75" t="s">
        <v>154</v>
      </c>
      <c r="H24" s="75" t="s">
        <v>155</v>
      </c>
      <c r="I24" s="75" t="s">
        <v>156</v>
      </c>
      <c r="J24" s="75" t="s">
        <v>157</v>
      </c>
      <c r="K24" s="75" t="s">
        <v>158</v>
      </c>
    </row>
    <row r="25" spans="1:16" ht="15.75" customHeight="1">
      <c r="A25" s="79"/>
      <c r="B25" s="79"/>
      <c r="C25" s="79"/>
      <c r="D25" s="79"/>
      <c r="E25" s="76"/>
      <c r="F25" s="76"/>
      <c r="G25" s="76"/>
      <c r="H25" s="76"/>
      <c r="I25" s="76"/>
      <c r="J25" s="76"/>
      <c r="K25" s="76"/>
    </row>
    <row r="26" spans="1:16" ht="15.75" customHeight="1">
      <c r="A26" s="79" t="s">
        <v>348</v>
      </c>
      <c r="B26" s="79"/>
      <c r="C26" s="79"/>
      <c r="D26" s="79"/>
      <c r="E26" s="76"/>
      <c r="F26" s="76"/>
      <c r="G26" s="76"/>
      <c r="H26" s="76"/>
      <c r="I26" s="76"/>
      <c r="J26" s="76"/>
      <c r="K26" s="76"/>
      <c r="P26" s="71"/>
    </row>
    <row r="27" spans="1:16" ht="15.75" customHeight="1">
      <c r="A27" s="191" t="s">
        <v>653</v>
      </c>
      <c r="B27" s="195"/>
      <c r="C27" s="195"/>
      <c r="D27" s="195"/>
      <c r="E27" s="78"/>
      <c r="F27" s="78"/>
      <c r="G27" s="78"/>
      <c r="H27" s="78"/>
      <c r="I27" s="78"/>
      <c r="J27" s="78"/>
      <c r="K27" s="78"/>
      <c r="P27" s="71"/>
    </row>
    <row r="28" spans="1:16" ht="15.75" customHeight="1">
      <c r="A28" s="195" t="str">
        <f t="shared" ref="A28:A32" si="5">B8</f>
        <v>Double Plough</v>
      </c>
      <c r="B28" s="195"/>
      <c r="C28" s="195">
        <f t="shared" ref="C28:C38" si="6">H8</f>
        <v>0</v>
      </c>
      <c r="D28" s="195">
        <f t="shared" ref="D28:D38" si="7">K8</f>
        <v>3000</v>
      </c>
      <c r="E28" s="78">
        <f t="shared" ref="E28:K28" si="8">$C$28*$D$28*E23</f>
        <v>0</v>
      </c>
      <c r="F28" s="78">
        <f t="shared" si="8"/>
        <v>0</v>
      </c>
      <c r="G28" s="78">
        <f t="shared" si="8"/>
        <v>0</v>
      </c>
      <c r="H28" s="78">
        <f t="shared" si="8"/>
        <v>0</v>
      </c>
      <c r="I28" s="78">
        <f t="shared" si="8"/>
        <v>0</v>
      </c>
      <c r="J28" s="78">
        <f t="shared" si="8"/>
        <v>0</v>
      </c>
      <c r="K28" s="78">
        <f t="shared" si="8"/>
        <v>0</v>
      </c>
      <c r="P28" s="71"/>
    </row>
    <row r="29" spans="1:16" ht="15.75" customHeight="1">
      <c r="A29" s="195" t="str">
        <f t="shared" si="5"/>
        <v>Cultivator</v>
      </c>
      <c r="B29" s="195"/>
      <c r="C29" s="195">
        <f t="shared" si="6"/>
        <v>0</v>
      </c>
      <c r="D29" s="195">
        <f t="shared" si="7"/>
        <v>1800</v>
      </c>
      <c r="E29" s="78">
        <f t="shared" ref="E29:K29" si="9">$C$29*$D$29*E23</f>
        <v>0</v>
      </c>
      <c r="F29" s="78">
        <f t="shared" si="9"/>
        <v>0</v>
      </c>
      <c r="G29" s="78">
        <f t="shared" si="9"/>
        <v>0</v>
      </c>
      <c r="H29" s="78">
        <f t="shared" si="9"/>
        <v>0</v>
      </c>
      <c r="I29" s="78">
        <f t="shared" si="9"/>
        <v>0</v>
      </c>
      <c r="J29" s="78">
        <f t="shared" si="9"/>
        <v>0</v>
      </c>
      <c r="K29" s="78">
        <f t="shared" si="9"/>
        <v>0</v>
      </c>
      <c r="P29" s="71"/>
    </row>
    <row r="30" spans="1:16" ht="15.75" customHeight="1">
      <c r="A30" s="195" t="str">
        <f t="shared" si="5"/>
        <v>Rotavator</v>
      </c>
      <c r="B30" s="195"/>
      <c r="C30" s="195">
        <f t="shared" si="6"/>
        <v>0</v>
      </c>
      <c r="D30" s="195">
        <f t="shared" si="7"/>
        <v>1800</v>
      </c>
      <c r="E30" s="78">
        <f t="shared" ref="E30:K30" si="10">$C$30*$D$30*E23</f>
        <v>0</v>
      </c>
      <c r="F30" s="78">
        <f t="shared" si="10"/>
        <v>0</v>
      </c>
      <c r="G30" s="78">
        <f t="shared" si="10"/>
        <v>0</v>
      </c>
      <c r="H30" s="78">
        <f t="shared" si="10"/>
        <v>0</v>
      </c>
      <c r="I30" s="78">
        <f t="shared" si="10"/>
        <v>0</v>
      </c>
      <c r="J30" s="78">
        <f t="shared" si="10"/>
        <v>0</v>
      </c>
      <c r="K30" s="78">
        <f t="shared" si="10"/>
        <v>0</v>
      </c>
      <c r="P30" s="71"/>
    </row>
    <row r="31" spans="1:16" ht="15.75" customHeight="1">
      <c r="A31" s="195" t="str">
        <f t="shared" si="5"/>
        <v>BBF Seed Sowing Machine</v>
      </c>
      <c r="B31" s="195"/>
      <c r="C31" s="195">
        <f t="shared" si="6"/>
        <v>0</v>
      </c>
      <c r="D31" s="195">
        <f t="shared" si="7"/>
        <v>1200</v>
      </c>
      <c r="E31" s="78">
        <f t="shared" ref="E31:K31" si="11">$C$31*$D$31*E23</f>
        <v>0</v>
      </c>
      <c r="F31" s="78">
        <f t="shared" si="11"/>
        <v>0</v>
      </c>
      <c r="G31" s="78">
        <f t="shared" si="11"/>
        <v>0</v>
      </c>
      <c r="H31" s="78">
        <f t="shared" si="11"/>
        <v>0</v>
      </c>
      <c r="I31" s="78">
        <f t="shared" si="11"/>
        <v>0</v>
      </c>
      <c r="J31" s="78">
        <f t="shared" si="11"/>
        <v>0</v>
      </c>
      <c r="K31" s="78">
        <f t="shared" si="11"/>
        <v>0</v>
      </c>
      <c r="P31" s="71"/>
    </row>
    <row r="32" spans="1:16" ht="15.75" customHeight="1">
      <c r="A32" s="195" t="str">
        <f t="shared" si="5"/>
        <v>Mobile Threshing</v>
      </c>
      <c r="B32" s="195"/>
      <c r="C32" s="195">
        <f t="shared" si="6"/>
        <v>0</v>
      </c>
      <c r="D32" s="195">
        <f t="shared" si="7"/>
        <v>3000</v>
      </c>
      <c r="E32" s="78">
        <f t="shared" ref="E32:K32" si="12">$C$32*$D$32*E23</f>
        <v>0</v>
      </c>
      <c r="F32" s="78">
        <f t="shared" si="12"/>
        <v>0</v>
      </c>
      <c r="G32" s="78">
        <f t="shared" si="12"/>
        <v>0</v>
      </c>
      <c r="H32" s="78">
        <f t="shared" si="12"/>
        <v>0</v>
      </c>
      <c r="I32" s="78">
        <f t="shared" si="12"/>
        <v>0</v>
      </c>
      <c r="J32" s="78">
        <f t="shared" si="12"/>
        <v>0</v>
      </c>
      <c r="K32" s="78">
        <f t="shared" si="12"/>
        <v>0</v>
      </c>
      <c r="P32" s="71"/>
    </row>
    <row r="33" spans="1:16" ht="15.75" customHeight="1">
      <c r="A33" s="195"/>
      <c r="B33" s="195"/>
      <c r="C33" s="195">
        <f t="shared" si="6"/>
        <v>0</v>
      </c>
      <c r="D33" s="195">
        <f t="shared" si="7"/>
        <v>0</v>
      </c>
      <c r="E33" s="78">
        <f t="shared" ref="E33:K33" si="13">$C$33*$D$33*E23</f>
        <v>0</v>
      </c>
      <c r="F33" s="78">
        <f t="shared" si="13"/>
        <v>0</v>
      </c>
      <c r="G33" s="78">
        <f t="shared" si="13"/>
        <v>0</v>
      </c>
      <c r="H33" s="78">
        <f t="shared" si="13"/>
        <v>0</v>
      </c>
      <c r="I33" s="78">
        <f t="shared" si="13"/>
        <v>0</v>
      </c>
      <c r="J33" s="78">
        <f t="shared" si="13"/>
        <v>0</v>
      </c>
      <c r="K33" s="78">
        <f t="shared" si="13"/>
        <v>0</v>
      </c>
      <c r="P33" s="71"/>
    </row>
    <row r="34" spans="1:16" ht="15.75" customHeight="1">
      <c r="A34" s="195"/>
      <c r="B34" s="195"/>
      <c r="C34" s="195">
        <f t="shared" si="6"/>
        <v>0</v>
      </c>
      <c r="D34" s="195">
        <f t="shared" si="7"/>
        <v>0</v>
      </c>
      <c r="E34" s="78">
        <f t="shared" ref="E34:K34" si="14">$C$34*$D$34*E23</f>
        <v>0</v>
      </c>
      <c r="F34" s="78">
        <f t="shared" si="14"/>
        <v>0</v>
      </c>
      <c r="G34" s="78">
        <f t="shared" si="14"/>
        <v>0</v>
      </c>
      <c r="H34" s="78">
        <f t="shared" si="14"/>
        <v>0</v>
      </c>
      <c r="I34" s="78">
        <f t="shared" si="14"/>
        <v>0</v>
      </c>
      <c r="J34" s="78">
        <f t="shared" si="14"/>
        <v>0</v>
      </c>
      <c r="K34" s="78">
        <f t="shared" si="14"/>
        <v>0</v>
      </c>
      <c r="P34" s="71"/>
    </row>
    <row r="35" spans="1:16" ht="15.75" customHeight="1">
      <c r="A35" s="195"/>
      <c r="B35" s="195"/>
      <c r="C35" s="195">
        <f t="shared" si="6"/>
        <v>0</v>
      </c>
      <c r="D35" s="195">
        <f t="shared" si="7"/>
        <v>0</v>
      </c>
      <c r="E35" s="78">
        <f t="shared" ref="E35:K35" si="15">$C$35*$D$35*E23</f>
        <v>0</v>
      </c>
      <c r="F35" s="78">
        <f t="shared" si="15"/>
        <v>0</v>
      </c>
      <c r="G35" s="78">
        <f t="shared" si="15"/>
        <v>0</v>
      </c>
      <c r="H35" s="78">
        <f t="shared" si="15"/>
        <v>0</v>
      </c>
      <c r="I35" s="78">
        <f t="shared" si="15"/>
        <v>0</v>
      </c>
      <c r="J35" s="78">
        <f t="shared" si="15"/>
        <v>0</v>
      </c>
      <c r="K35" s="78">
        <f t="shared" si="15"/>
        <v>0</v>
      </c>
      <c r="P35" s="71"/>
    </row>
    <row r="36" spans="1:16" ht="15.75" customHeight="1">
      <c r="A36" s="195"/>
      <c r="B36" s="195"/>
      <c r="C36" s="195">
        <f t="shared" si="6"/>
        <v>0</v>
      </c>
      <c r="D36" s="195">
        <f t="shared" si="7"/>
        <v>0</v>
      </c>
      <c r="E36" s="78">
        <f t="shared" ref="E36:K36" si="16">$C$36*$D$36*E23</f>
        <v>0</v>
      </c>
      <c r="F36" s="78">
        <f t="shared" si="16"/>
        <v>0</v>
      </c>
      <c r="G36" s="78">
        <f t="shared" si="16"/>
        <v>0</v>
      </c>
      <c r="H36" s="78">
        <f t="shared" si="16"/>
        <v>0</v>
      </c>
      <c r="I36" s="78">
        <f t="shared" si="16"/>
        <v>0</v>
      </c>
      <c r="J36" s="78">
        <f t="shared" si="16"/>
        <v>0</v>
      </c>
      <c r="K36" s="78">
        <f t="shared" si="16"/>
        <v>0</v>
      </c>
      <c r="P36" s="71"/>
    </row>
    <row r="37" spans="1:16" ht="15.75" customHeight="1">
      <c r="A37" s="195"/>
      <c r="B37" s="195"/>
      <c r="C37" s="195">
        <f t="shared" si="6"/>
        <v>0</v>
      </c>
      <c r="D37" s="195">
        <f t="shared" si="7"/>
        <v>0</v>
      </c>
      <c r="E37" s="78">
        <f t="shared" ref="E37:K37" si="17">$C$37*$D$37*E23</f>
        <v>0</v>
      </c>
      <c r="F37" s="78">
        <f t="shared" si="17"/>
        <v>0</v>
      </c>
      <c r="G37" s="78">
        <f t="shared" si="17"/>
        <v>0</v>
      </c>
      <c r="H37" s="78">
        <f t="shared" si="17"/>
        <v>0</v>
      </c>
      <c r="I37" s="78">
        <f t="shared" si="17"/>
        <v>0</v>
      </c>
      <c r="J37" s="78">
        <f t="shared" si="17"/>
        <v>0</v>
      </c>
      <c r="K37" s="78">
        <f t="shared" si="17"/>
        <v>0</v>
      </c>
      <c r="P37" s="71"/>
    </row>
    <row r="38" spans="1:16" ht="15.75" customHeight="1">
      <c r="A38" s="79"/>
      <c r="B38" s="79"/>
      <c r="C38" s="195">
        <f t="shared" si="6"/>
        <v>0</v>
      </c>
      <c r="D38" s="195">
        <f t="shared" si="7"/>
        <v>0</v>
      </c>
      <c r="E38" s="78">
        <f t="shared" ref="E38:K38" si="18">$C$38*$D$38*E23</f>
        <v>0</v>
      </c>
      <c r="F38" s="78">
        <f t="shared" si="18"/>
        <v>0</v>
      </c>
      <c r="G38" s="78">
        <f t="shared" si="18"/>
        <v>0</v>
      </c>
      <c r="H38" s="78">
        <f t="shared" si="18"/>
        <v>0</v>
      </c>
      <c r="I38" s="78">
        <f t="shared" si="18"/>
        <v>0</v>
      </c>
      <c r="J38" s="78">
        <f t="shared" si="18"/>
        <v>0</v>
      </c>
      <c r="K38" s="78">
        <f t="shared" si="18"/>
        <v>0</v>
      </c>
      <c r="P38" s="71"/>
    </row>
    <row r="39" spans="1:16" ht="15.75" customHeight="1">
      <c r="A39" s="79" t="s">
        <v>354</v>
      </c>
      <c r="B39" s="79"/>
      <c r="C39" s="79"/>
      <c r="D39" s="79"/>
      <c r="E39" s="78">
        <f t="shared" ref="E39:K39" si="19">SUM(E28:E38)</f>
        <v>0</v>
      </c>
      <c r="F39" s="78">
        <f t="shared" si="19"/>
        <v>0</v>
      </c>
      <c r="G39" s="78">
        <f t="shared" si="19"/>
        <v>0</v>
      </c>
      <c r="H39" s="78">
        <f t="shared" si="19"/>
        <v>0</v>
      </c>
      <c r="I39" s="78">
        <f t="shared" si="19"/>
        <v>0</v>
      </c>
      <c r="J39" s="78">
        <f t="shared" si="19"/>
        <v>0</v>
      </c>
      <c r="K39" s="78">
        <f t="shared" si="19"/>
        <v>0</v>
      </c>
      <c r="P39" s="71"/>
    </row>
    <row r="40" spans="1:16" ht="15.75" customHeight="1">
      <c r="A40" s="76"/>
      <c r="B40" s="76"/>
      <c r="C40" s="76"/>
      <c r="D40" s="76"/>
      <c r="E40" s="78"/>
      <c r="F40" s="78"/>
      <c r="G40" s="78"/>
      <c r="H40" s="78"/>
      <c r="I40" s="78"/>
      <c r="J40" s="78"/>
      <c r="K40" s="78"/>
      <c r="P40" s="71"/>
    </row>
    <row r="41" spans="1:16" ht="15.75" customHeight="1">
      <c r="A41" s="79" t="s">
        <v>587</v>
      </c>
      <c r="B41" s="79"/>
      <c r="C41" s="79"/>
      <c r="D41" s="79"/>
      <c r="E41" s="78"/>
      <c r="F41" s="78"/>
      <c r="G41" s="78"/>
      <c r="H41" s="78"/>
      <c r="I41" s="78"/>
      <c r="J41" s="78"/>
      <c r="K41" s="78"/>
      <c r="P41" s="71"/>
    </row>
    <row r="42" spans="1:16" ht="15.75" customHeight="1">
      <c r="A42" s="79" t="s">
        <v>654</v>
      </c>
      <c r="B42" s="79"/>
      <c r="C42" s="79"/>
      <c r="D42" s="79"/>
      <c r="E42" s="78"/>
      <c r="F42" s="78"/>
      <c r="G42" s="78"/>
      <c r="H42" s="78"/>
      <c r="I42" s="78"/>
      <c r="J42" s="78"/>
      <c r="K42" s="78"/>
    </row>
    <row r="43" spans="1:16" ht="15.75" customHeight="1">
      <c r="A43" s="76" t="s">
        <v>655</v>
      </c>
      <c r="B43" s="76" t="s">
        <v>656</v>
      </c>
      <c r="C43" s="76">
        <f>SUM(J8:J17)</f>
        <v>0</v>
      </c>
      <c r="D43" s="50">
        <v>100</v>
      </c>
      <c r="E43" s="78">
        <f t="shared" ref="E43:K43" si="20">$C$43*$D$43*E23</f>
        <v>0</v>
      </c>
      <c r="F43" s="78">
        <f t="shared" si="20"/>
        <v>0</v>
      </c>
      <c r="G43" s="78">
        <f t="shared" si="20"/>
        <v>0</v>
      </c>
      <c r="H43" s="78">
        <f t="shared" si="20"/>
        <v>0</v>
      </c>
      <c r="I43" s="78">
        <f t="shared" si="20"/>
        <v>0</v>
      </c>
      <c r="J43" s="78">
        <f t="shared" si="20"/>
        <v>0</v>
      </c>
      <c r="K43" s="78">
        <f t="shared" si="20"/>
        <v>0</v>
      </c>
    </row>
    <row r="44" spans="1:16" ht="15.75" customHeight="1">
      <c r="A44" s="76" t="s">
        <v>657</v>
      </c>
      <c r="B44" s="76" t="s">
        <v>658</v>
      </c>
      <c r="C44" s="76">
        <f>SUM(M8:M17)</f>
        <v>0</v>
      </c>
      <c r="D44" s="50">
        <v>300</v>
      </c>
      <c r="E44" s="78">
        <f t="shared" ref="E44:K44" si="21">$C$44*$D$44*E23</f>
        <v>0</v>
      </c>
      <c r="F44" s="78">
        <f t="shared" si="21"/>
        <v>0</v>
      </c>
      <c r="G44" s="78">
        <f t="shared" si="21"/>
        <v>0</v>
      </c>
      <c r="H44" s="78">
        <f t="shared" si="21"/>
        <v>0</v>
      </c>
      <c r="I44" s="78">
        <f t="shared" si="21"/>
        <v>0</v>
      </c>
      <c r="J44" s="78">
        <f t="shared" si="21"/>
        <v>0</v>
      </c>
      <c r="K44" s="78">
        <f t="shared" si="21"/>
        <v>0</v>
      </c>
    </row>
    <row r="45" spans="1:16" ht="15.75" customHeight="1">
      <c r="A45" s="76"/>
      <c r="B45" s="76"/>
      <c r="C45" s="50"/>
      <c r="D45" s="50"/>
      <c r="E45" s="78"/>
      <c r="F45" s="78"/>
      <c r="G45" s="78"/>
      <c r="H45" s="78"/>
      <c r="I45" s="78"/>
      <c r="J45" s="78"/>
      <c r="K45" s="78"/>
    </row>
    <row r="46" spans="1:16" ht="15.75" customHeight="1">
      <c r="A46" s="76"/>
      <c r="B46" s="76"/>
      <c r="C46" s="50"/>
      <c r="D46" s="50"/>
      <c r="E46" s="78"/>
      <c r="F46" s="78"/>
      <c r="G46" s="78"/>
      <c r="H46" s="78"/>
      <c r="I46" s="78"/>
      <c r="J46" s="78"/>
      <c r="K46" s="78"/>
    </row>
    <row r="47" spans="1:16" ht="15.75" customHeight="1">
      <c r="A47" s="76"/>
      <c r="B47" s="76"/>
      <c r="C47" s="50"/>
      <c r="D47" s="50"/>
      <c r="E47" s="78"/>
      <c r="F47" s="78"/>
      <c r="G47" s="78"/>
      <c r="H47" s="78"/>
      <c r="I47" s="78"/>
      <c r="J47" s="78"/>
      <c r="K47" s="78"/>
    </row>
    <row r="48" spans="1:16" ht="15.75" customHeight="1">
      <c r="A48" s="76"/>
      <c r="B48" s="76"/>
      <c r="C48" s="50"/>
      <c r="D48" s="50"/>
      <c r="E48" s="78"/>
      <c r="F48" s="78"/>
      <c r="G48" s="78"/>
      <c r="H48" s="78"/>
      <c r="I48" s="78"/>
      <c r="J48" s="78"/>
      <c r="K48" s="78"/>
    </row>
    <row r="49" spans="1:12" ht="15.75" customHeight="1">
      <c r="A49" s="79" t="s">
        <v>356</v>
      </c>
      <c r="B49" s="79"/>
      <c r="C49" s="55"/>
      <c r="D49" s="55"/>
      <c r="E49" s="80">
        <f t="shared" ref="E49:K49" si="22">SUM(E43:E48)</f>
        <v>0</v>
      </c>
      <c r="F49" s="80">
        <f t="shared" si="22"/>
        <v>0</v>
      </c>
      <c r="G49" s="80">
        <f t="shared" si="22"/>
        <v>0</v>
      </c>
      <c r="H49" s="80">
        <f t="shared" si="22"/>
        <v>0</v>
      </c>
      <c r="I49" s="80">
        <f t="shared" si="22"/>
        <v>0</v>
      </c>
      <c r="J49" s="80">
        <f t="shared" si="22"/>
        <v>0</v>
      </c>
      <c r="K49" s="80">
        <f t="shared" si="22"/>
        <v>0</v>
      </c>
    </row>
    <row r="50" spans="1:12" ht="15.75" customHeight="1">
      <c r="A50" s="79"/>
      <c r="B50" s="79"/>
      <c r="C50" s="55"/>
      <c r="D50" s="55"/>
      <c r="E50" s="80"/>
      <c r="F50" s="80"/>
      <c r="G50" s="80"/>
      <c r="H50" s="80"/>
      <c r="I50" s="80"/>
      <c r="J50" s="80"/>
      <c r="K50" s="80"/>
    </row>
    <row r="51" spans="1:12" ht="15.75" customHeight="1">
      <c r="A51" s="191" t="s">
        <v>357</v>
      </c>
      <c r="B51" s="191"/>
      <c r="C51" s="278"/>
      <c r="D51" s="278"/>
      <c r="E51" s="78"/>
      <c r="F51" s="78"/>
      <c r="G51" s="78"/>
      <c r="H51" s="78"/>
      <c r="I51" s="78"/>
      <c r="J51" s="78"/>
      <c r="K51" s="78"/>
    </row>
    <row r="52" spans="1:12" ht="15.75" customHeight="1">
      <c r="A52" s="195" t="s">
        <v>659</v>
      </c>
      <c r="B52" s="76" t="s">
        <v>160</v>
      </c>
      <c r="C52" s="278">
        <v>1</v>
      </c>
      <c r="D52" s="284"/>
      <c r="E52" s="78">
        <f t="shared" ref="E52:K52" si="23">$C$52*$D$52*12*E23</f>
        <v>0</v>
      </c>
      <c r="F52" s="78">
        <f t="shared" si="23"/>
        <v>0</v>
      </c>
      <c r="G52" s="78">
        <f t="shared" si="23"/>
        <v>0</v>
      </c>
      <c r="H52" s="78">
        <f t="shared" si="23"/>
        <v>0</v>
      </c>
      <c r="I52" s="78">
        <f t="shared" si="23"/>
        <v>0</v>
      </c>
      <c r="J52" s="78">
        <f t="shared" si="23"/>
        <v>0</v>
      </c>
      <c r="K52" s="78">
        <f t="shared" si="23"/>
        <v>0</v>
      </c>
    </row>
    <row r="53" spans="1:12" ht="15.75" customHeight="1">
      <c r="A53" s="195"/>
      <c r="B53" s="195"/>
      <c r="C53" s="278"/>
      <c r="D53" s="284"/>
      <c r="E53" s="78"/>
      <c r="F53" s="78"/>
      <c r="G53" s="78"/>
      <c r="H53" s="78"/>
      <c r="I53" s="78"/>
      <c r="J53" s="78"/>
      <c r="K53" s="78"/>
    </row>
    <row r="54" spans="1:12" ht="15.75" customHeight="1">
      <c r="A54" s="195"/>
      <c r="B54" s="195"/>
      <c r="C54" s="278"/>
      <c r="D54" s="284"/>
      <c r="E54" s="78"/>
      <c r="F54" s="78"/>
      <c r="G54" s="78"/>
      <c r="H54" s="78"/>
      <c r="I54" s="78"/>
      <c r="J54" s="78"/>
      <c r="K54" s="78"/>
    </row>
    <row r="55" spans="1:12" ht="15.75" customHeight="1">
      <c r="A55" s="195"/>
      <c r="B55" s="195"/>
      <c r="C55" s="278"/>
      <c r="D55" s="284"/>
      <c r="E55" s="78"/>
      <c r="F55" s="78"/>
      <c r="G55" s="78"/>
      <c r="H55" s="78"/>
      <c r="I55" s="78"/>
      <c r="J55" s="78"/>
      <c r="K55" s="78"/>
    </row>
    <row r="56" spans="1:12" ht="15.75" customHeight="1">
      <c r="A56" s="79" t="s">
        <v>359</v>
      </c>
      <c r="B56" s="79"/>
      <c r="C56" s="79"/>
      <c r="D56" s="79"/>
      <c r="E56" s="80">
        <f t="shared" ref="E56:K56" si="24">SUM(E52:E55)</f>
        <v>0</v>
      </c>
      <c r="F56" s="80">
        <f t="shared" si="24"/>
        <v>0</v>
      </c>
      <c r="G56" s="80">
        <f t="shared" si="24"/>
        <v>0</v>
      </c>
      <c r="H56" s="80">
        <f t="shared" si="24"/>
        <v>0</v>
      </c>
      <c r="I56" s="80">
        <f t="shared" si="24"/>
        <v>0</v>
      </c>
      <c r="J56" s="80">
        <f t="shared" si="24"/>
        <v>0</v>
      </c>
      <c r="K56" s="80">
        <f t="shared" si="24"/>
        <v>0</v>
      </c>
    </row>
    <row r="57" spans="1:12" ht="15.75" customHeight="1">
      <c r="A57" s="79" t="s">
        <v>595</v>
      </c>
      <c r="B57" s="79"/>
      <c r="C57" s="79"/>
      <c r="D57" s="79"/>
      <c r="E57" s="80">
        <f t="shared" ref="E57:K57" si="25">E49+E56</f>
        <v>0</v>
      </c>
      <c r="F57" s="80">
        <f t="shared" si="25"/>
        <v>0</v>
      </c>
      <c r="G57" s="80">
        <f t="shared" si="25"/>
        <v>0</v>
      </c>
      <c r="H57" s="80">
        <f t="shared" si="25"/>
        <v>0</v>
      </c>
      <c r="I57" s="80">
        <f t="shared" si="25"/>
        <v>0</v>
      </c>
      <c r="J57" s="80">
        <f t="shared" si="25"/>
        <v>0</v>
      </c>
      <c r="K57" s="80">
        <f t="shared" si="25"/>
        <v>0</v>
      </c>
    </row>
    <row r="58" spans="1:12" ht="15.75" customHeight="1">
      <c r="A58" s="76"/>
      <c r="B58" s="76"/>
      <c r="C58" s="76"/>
      <c r="D58" s="76"/>
      <c r="E58" s="78"/>
      <c r="F58" s="78"/>
      <c r="G58" s="78"/>
      <c r="H58" s="78"/>
      <c r="I58" s="78"/>
      <c r="J58" s="78"/>
      <c r="K58" s="78"/>
    </row>
    <row r="59" spans="1:12" ht="15.75" customHeight="1">
      <c r="A59" s="79" t="s">
        <v>660</v>
      </c>
      <c r="B59" s="79"/>
      <c r="C59" s="79"/>
      <c r="D59" s="79"/>
      <c r="E59" s="80">
        <f t="shared" ref="E59:K59" si="26">E39-E57</f>
        <v>0</v>
      </c>
      <c r="F59" s="80">
        <f t="shared" si="26"/>
        <v>0</v>
      </c>
      <c r="G59" s="80">
        <f t="shared" si="26"/>
        <v>0</v>
      </c>
      <c r="H59" s="80">
        <f t="shared" si="26"/>
        <v>0</v>
      </c>
      <c r="I59" s="80">
        <f t="shared" si="26"/>
        <v>0</v>
      </c>
      <c r="J59" s="80">
        <f t="shared" si="26"/>
        <v>0</v>
      </c>
      <c r="K59" s="80">
        <f t="shared" si="26"/>
        <v>0</v>
      </c>
    </row>
    <row r="60" spans="1:12" ht="15.75" customHeight="1">
      <c r="A60" s="96"/>
      <c r="B60" s="96"/>
      <c r="C60" s="96"/>
      <c r="D60" s="96"/>
      <c r="E60" s="285"/>
      <c r="F60" s="285"/>
      <c r="G60" s="285"/>
      <c r="H60" s="285"/>
      <c r="I60" s="285"/>
      <c r="J60" s="285"/>
      <c r="K60" s="285"/>
    </row>
    <row r="61" spans="1:12" ht="15.75" customHeight="1">
      <c r="A61" s="71"/>
      <c r="B61" s="71"/>
      <c r="C61" s="96"/>
      <c r="D61" s="96"/>
      <c r="E61" s="285"/>
      <c r="F61" s="285"/>
      <c r="G61" s="285"/>
      <c r="H61" s="285"/>
      <c r="I61" s="285"/>
      <c r="J61" s="285"/>
      <c r="K61" s="285"/>
    </row>
    <row r="62" spans="1:12" ht="15.75" customHeight="1">
      <c r="A62" s="353" t="s">
        <v>661</v>
      </c>
      <c r="B62" s="335"/>
      <c r="C62" s="335"/>
      <c r="D62" s="335"/>
      <c r="E62" s="335"/>
      <c r="F62" s="335"/>
      <c r="G62" s="335"/>
      <c r="H62" s="335"/>
      <c r="I62" s="335"/>
      <c r="J62" s="335"/>
      <c r="K62" s="335"/>
      <c r="L62" s="335"/>
    </row>
    <row r="63" spans="1:12" ht="15.75" customHeight="1"/>
    <row r="64" spans="1:12" ht="15.75" customHeight="1"/>
    <row r="65" spans="1:2" ht="15.75" customHeight="1">
      <c r="A65" t="s">
        <v>313</v>
      </c>
    </row>
    <row r="66" spans="1:2" ht="15.75" customHeight="1">
      <c r="A66">
        <v>1</v>
      </c>
      <c r="B66" t="s">
        <v>599</v>
      </c>
    </row>
    <row r="67" spans="1:2" ht="15.75" customHeight="1">
      <c r="A67">
        <v>2</v>
      </c>
      <c r="B67" t="s">
        <v>600</v>
      </c>
    </row>
    <row r="68" spans="1:2" ht="15.75" customHeight="1">
      <c r="A68">
        <v>3</v>
      </c>
      <c r="B68" s="71" t="s">
        <v>601</v>
      </c>
    </row>
    <row r="69" spans="1:2" ht="15.75" customHeight="1"/>
    <row r="70" spans="1:2" ht="15.75" customHeight="1"/>
    <row r="71" spans="1:2" ht="15.75" customHeight="1"/>
    <row r="72" spans="1:2" ht="15.75" customHeight="1"/>
    <row r="73" spans="1:2" ht="15.75" customHeight="1"/>
    <row r="74" spans="1:2" ht="15.75" customHeight="1"/>
    <row r="75" spans="1:2" ht="15.75" customHeight="1"/>
    <row r="76" spans="1:2" ht="15.75" customHeight="1"/>
    <row r="77" spans="1:2" ht="15.75" customHeight="1"/>
    <row r="78" spans="1:2" ht="15.75" customHeight="1"/>
    <row r="79" spans="1:2" ht="15.75" customHeight="1"/>
    <row r="80" spans="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3:L3"/>
    <mergeCell ref="A62:L62"/>
    <mergeCell ref="A4:L4"/>
  </mergeCells>
  <pageMargins left="0.7" right="0.7" top="0.75" bottom="0.75" header="0" footer="0"/>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topLeftCell="A275" workbookViewId="0">
      <selection activeCell="A2" sqref="A2:I2"/>
    </sheetView>
  </sheetViews>
  <sheetFormatPr defaultColWidth="14.44140625" defaultRowHeight="15" customHeight="1"/>
  <cols>
    <col min="1" max="1" width="41.109375" customWidth="1"/>
    <col min="2" max="2" width="4.44140625" customWidth="1"/>
    <col min="3" max="3" width="10.5546875" customWidth="1"/>
    <col min="4" max="4" width="13.44140625" customWidth="1"/>
    <col min="5" max="5" width="19.44140625" customWidth="1"/>
    <col min="6" max="10" width="14.6640625" customWidth="1"/>
    <col min="11" max="11" width="8.6640625" customWidth="1"/>
    <col min="12" max="12" width="27.109375" customWidth="1"/>
    <col min="13" max="17" width="8.6640625" customWidth="1"/>
    <col min="18" max="20" width="9.44140625" customWidth="1"/>
    <col min="21" max="21" width="8.6640625" customWidth="1"/>
    <col min="22" max="22" width="9.44140625" customWidth="1"/>
    <col min="23" max="23" width="8.6640625" customWidth="1"/>
  </cols>
  <sheetData>
    <row r="2" spans="1:9" ht="17.399999999999999">
      <c r="A2" s="351" t="s">
        <v>662</v>
      </c>
      <c r="B2" s="335"/>
      <c r="C2" s="335"/>
      <c r="D2" s="335"/>
      <c r="E2" s="335"/>
      <c r="F2" s="335"/>
      <c r="G2" s="335"/>
      <c r="H2" s="335"/>
      <c r="I2" s="335"/>
    </row>
    <row r="4" spans="1:9" ht="14.4">
      <c r="A4" s="71"/>
      <c r="B4" s="71"/>
      <c r="C4" s="71"/>
      <c r="D4" s="71"/>
      <c r="E4" s="71"/>
      <c r="F4" s="71"/>
      <c r="G4" s="71"/>
      <c r="H4" s="71"/>
      <c r="I4" s="71"/>
    </row>
    <row r="5" spans="1:9" ht="14.4">
      <c r="A5" s="71"/>
      <c r="B5" s="71"/>
      <c r="C5" s="71"/>
      <c r="D5" s="71"/>
      <c r="E5" s="71"/>
      <c r="F5" s="71"/>
      <c r="G5" s="71"/>
      <c r="H5" s="71"/>
      <c r="I5" s="71"/>
    </row>
    <row r="6" spans="1:9" ht="14.4">
      <c r="A6" s="74" t="s">
        <v>82</v>
      </c>
      <c r="B6" s="74"/>
      <c r="C6" s="75" t="s">
        <v>152</v>
      </c>
      <c r="D6" s="75" t="s">
        <v>153</v>
      </c>
      <c r="E6" s="75" t="s">
        <v>154</v>
      </c>
      <c r="F6" s="75" t="s">
        <v>155</v>
      </c>
      <c r="G6" s="75" t="s">
        <v>156</v>
      </c>
      <c r="H6" s="75" t="s">
        <v>157</v>
      </c>
      <c r="I6" s="75" t="s">
        <v>158</v>
      </c>
    </row>
    <row r="7" spans="1:9" ht="14.4">
      <c r="A7" s="79" t="s">
        <v>663</v>
      </c>
      <c r="B7" s="76"/>
      <c r="C7" s="76"/>
      <c r="D7" s="76"/>
      <c r="E7" s="76"/>
      <c r="F7" s="76"/>
      <c r="G7" s="76"/>
      <c r="H7" s="76"/>
      <c r="I7" s="76"/>
    </row>
    <row r="8" spans="1:9" ht="14.4">
      <c r="A8" s="79" t="s">
        <v>664</v>
      </c>
      <c r="B8" s="270"/>
      <c r="C8" s="286"/>
      <c r="D8" s="286"/>
      <c r="E8" s="286"/>
      <c r="F8" s="286"/>
      <c r="G8" s="286"/>
      <c r="H8" s="286"/>
      <c r="I8" s="286"/>
    </row>
    <row r="9" spans="1:9" ht="14.4">
      <c r="A9" s="76" t="str">
        <f>'10.Grain Production details'!A93</f>
        <v>Soybean</v>
      </c>
      <c r="B9" s="270"/>
      <c r="C9" s="286">
        <f>'10.Grain Production details'!B93</f>
        <v>0</v>
      </c>
      <c r="D9" s="286">
        <f>'10.Grain Production details'!C93</f>
        <v>0</v>
      </c>
      <c r="E9" s="286">
        <f>'10.Grain Production details'!D93</f>
        <v>0</v>
      </c>
      <c r="F9" s="286">
        <f>'10.Grain Production details'!E93</f>
        <v>0</v>
      </c>
      <c r="G9" s="286">
        <f>'10.Grain Production details'!F93</f>
        <v>0</v>
      </c>
      <c r="H9" s="286">
        <f>'10.Grain Production details'!G93</f>
        <v>0</v>
      </c>
      <c r="I9" s="286">
        <f>'10.Grain Production details'!H93</f>
        <v>0</v>
      </c>
    </row>
    <row r="10" spans="1:9" ht="14.4">
      <c r="A10" s="76" t="str">
        <f>'10.Grain Production details'!A94</f>
        <v>Red Gram/Tur</v>
      </c>
      <c r="B10" s="270"/>
      <c r="C10" s="286">
        <f>'10.Grain Production details'!B94</f>
        <v>0</v>
      </c>
      <c r="D10" s="286">
        <f>'10.Grain Production details'!C94</f>
        <v>0</v>
      </c>
      <c r="E10" s="286">
        <f>'10.Grain Production details'!D94</f>
        <v>0</v>
      </c>
      <c r="F10" s="286">
        <f>'10.Grain Production details'!E94</f>
        <v>0</v>
      </c>
      <c r="G10" s="286">
        <f>'10.Grain Production details'!F94</f>
        <v>0</v>
      </c>
      <c r="H10" s="286">
        <f>'10.Grain Production details'!G94</f>
        <v>0</v>
      </c>
      <c r="I10" s="286">
        <f>'10.Grain Production details'!H94</f>
        <v>0</v>
      </c>
    </row>
    <row r="11" spans="1:9" ht="14.4">
      <c r="A11" s="76" t="str">
        <f>'10.Grain Production details'!A95</f>
        <v>Turmeric</v>
      </c>
      <c r="B11" s="270"/>
      <c r="C11" s="286">
        <f>'10.Grain Production details'!B95</f>
        <v>195</v>
      </c>
      <c r="D11" s="286">
        <f>'10.Grain Production details'!C95</f>
        <v>210.00000000000003</v>
      </c>
      <c r="E11" s="286">
        <f>'10.Grain Production details'!D95</f>
        <v>225.00000000000003</v>
      </c>
      <c r="F11" s="286">
        <f>'10.Grain Production details'!E95</f>
        <v>240.00000000000006</v>
      </c>
      <c r="G11" s="286">
        <f>'10.Grain Production details'!F95</f>
        <v>255.00000000000006</v>
      </c>
      <c r="H11" s="286">
        <f>'10.Grain Production details'!G95</f>
        <v>270.00000000000006</v>
      </c>
      <c r="I11" s="286">
        <f>'10.Grain Production details'!H95</f>
        <v>285.00000000000011</v>
      </c>
    </row>
    <row r="12" spans="1:9" ht="14.4">
      <c r="A12" s="76" t="str">
        <f>'10.Grain Production details'!A96</f>
        <v>Green Gram/ Moong</v>
      </c>
      <c r="B12" s="270"/>
      <c r="C12" s="286">
        <f>'10.Grain Production details'!B96</f>
        <v>0</v>
      </c>
      <c r="D12" s="286">
        <f>'10.Grain Production details'!C96</f>
        <v>0</v>
      </c>
      <c r="E12" s="286">
        <f>'10.Grain Production details'!D96</f>
        <v>0</v>
      </c>
      <c r="F12" s="286">
        <f>'10.Grain Production details'!E96</f>
        <v>0</v>
      </c>
      <c r="G12" s="286">
        <f>'10.Grain Production details'!F96</f>
        <v>0</v>
      </c>
      <c r="H12" s="286">
        <f>'10.Grain Production details'!G96</f>
        <v>0</v>
      </c>
      <c r="I12" s="286">
        <f>'10.Grain Production details'!H96</f>
        <v>0</v>
      </c>
    </row>
    <row r="13" spans="1:9" ht="14.4">
      <c r="A13" s="76" t="str">
        <f>'10.Grain Production details'!A97</f>
        <v>Maize</v>
      </c>
      <c r="B13" s="270"/>
      <c r="C13" s="286">
        <f>'10.Grain Production details'!B97</f>
        <v>0</v>
      </c>
      <c r="D13" s="286">
        <f>'10.Grain Production details'!C97</f>
        <v>0</v>
      </c>
      <c r="E13" s="286">
        <f>'10.Grain Production details'!D97</f>
        <v>0</v>
      </c>
      <c r="F13" s="286">
        <f>'10.Grain Production details'!E97</f>
        <v>0</v>
      </c>
      <c r="G13" s="286">
        <f>'10.Grain Production details'!F97</f>
        <v>0</v>
      </c>
      <c r="H13" s="286">
        <f>'10.Grain Production details'!G97</f>
        <v>0</v>
      </c>
      <c r="I13" s="286">
        <f>'10.Grain Production details'!H97</f>
        <v>0</v>
      </c>
    </row>
    <row r="14" spans="1:9" ht="14.4">
      <c r="A14" s="76" t="str">
        <f>'10.Grain Production details'!A98</f>
        <v>Black Gram/Udid</v>
      </c>
      <c r="B14" s="270"/>
      <c r="C14" s="286">
        <f>'10.Grain Production details'!B98</f>
        <v>0</v>
      </c>
      <c r="D14" s="286">
        <f>'10.Grain Production details'!C98</f>
        <v>0</v>
      </c>
      <c r="E14" s="286">
        <f>'10.Grain Production details'!D98</f>
        <v>0</v>
      </c>
      <c r="F14" s="286">
        <f>'10.Grain Production details'!E98</f>
        <v>0</v>
      </c>
      <c r="G14" s="286">
        <f>'10.Grain Production details'!F98</f>
        <v>0</v>
      </c>
      <c r="H14" s="286">
        <f>'10.Grain Production details'!G98</f>
        <v>0</v>
      </c>
      <c r="I14" s="286">
        <f>'10.Grain Production details'!H98</f>
        <v>0</v>
      </c>
    </row>
    <row r="15" spans="1:9" ht="14.4">
      <c r="A15" s="76" t="str">
        <f>'10.Grain Production details'!A99</f>
        <v>Bajra</v>
      </c>
      <c r="B15" s="270"/>
      <c r="C15" s="286">
        <f>'10.Grain Production details'!B99</f>
        <v>0</v>
      </c>
      <c r="D15" s="286">
        <f>'10.Grain Production details'!C99</f>
        <v>0</v>
      </c>
      <c r="E15" s="286">
        <f>'10.Grain Production details'!D99</f>
        <v>0</v>
      </c>
      <c r="F15" s="286">
        <f>'10.Grain Production details'!E99</f>
        <v>0</v>
      </c>
      <c r="G15" s="286">
        <f>'10.Grain Production details'!F99</f>
        <v>0</v>
      </c>
      <c r="H15" s="286">
        <f>'10.Grain Production details'!G99</f>
        <v>0</v>
      </c>
      <c r="I15" s="286">
        <f>'10.Grain Production details'!H99</f>
        <v>0</v>
      </c>
    </row>
    <row r="16" spans="1:9" ht="14.4">
      <c r="A16" s="76" t="str">
        <f>'10.Grain Production details'!A100</f>
        <v>Jawar</v>
      </c>
      <c r="B16" s="270"/>
      <c r="C16" s="286">
        <f>'10.Grain Production details'!B100</f>
        <v>0</v>
      </c>
      <c r="D16" s="286">
        <f>'10.Grain Production details'!C100</f>
        <v>0</v>
      </c>
      <c r="E16" s="286">
        <f>'10.Grain Production details'!D100</f>
        <v>0</v>
      </c>
      <c r="F16" s="286">
        <f>'10.Grain Production details'!E100</f>
        <v>0</v>
      </c>
      <c r="G16" s="286">
        <f>'10.Grain Production details'!F100</f>
        <v>0</v>
      </c>
      <c r="H16" s="286">
        <f>'10.Grain Production details'!G100</f>
        <v>0</v>
      </c>
      <c r="I16" s="286">
        <f>'10.Grain Production details'!H100</f>
        <v>0</v>
      </c>
    </row>
    <row r="17" spans="1:9" ht="14.4">
      <c r="A17" s="79" t="s">
        <v>665</v>
      </c>
      <c r="B17" s="270"/>
      <c r="C17" s="286"/>
      <c r="D17" s="286"/>
      <c r="E17" s="286"/>
      <c r="F17" s="286"/>
      <c r="G17" s="286"/>
      <c r="H17" s="286"/>
      <c r="I17" s="286"/>
    </row>
    <row r="18" spans="1:9" ht="14.4">
      <c r="A18" s="76" t="str">
        <f>'10.Grain Production details'!A102</f>
        <v>Wheat</v>
      </c>
      <c r="B18" s="270"/>
      <c r="C18" s="286">
        <f>'10.Grain Production details'!B102</f>
        <v>0</v>
      </c>
      <c r="D18" s="286">
        <f>'10.Grain Production details'!C102</f>
        <v>0</v>
      </c>
      <c r="E18" s="286">
        <f>'10.Grain Production details'!D102</f>
        <v>0</v>
      </c>
      <c r="F18" s="286">
        <f>'10.Grain Production details'!E102</f>
        <v>0</v>
      </c>
      <c r="G18" s="286">
        <f>'10.Grain Production details'!F102</f>
        <v>0</v>
      </c>
      <c r="H18" s="286">
        <f>'10.Grain Production details'!G102</f>
        <v>0</v>
      </c>
      <c r="I18" s="286">
        <f>'10.Grain Production details'!H102</f>
        <v>0</v>
      </c>
    </row>
    <row r="19" spans="1:9" ht="14.4">
      <c r="A19" s="76" t="str">
        <f>'10.Grain Production details'!A103</f>
        <v>Bengal Gram/Channa</v>
      </c>
      <c r="B19" s="270"/>
      <c r="C19" s="286">
        <f>'10.Grain Production details'!B103</f>
        <v>0</v>
      </c>
      <c r="D19" s="286">
        <f>'10.Grain Production details'!C103</f>
        <v>0</v>
      </c>
      <c r="E19" s="286">
        <f>'10.Grain Production details'!D103</f>
        <v>0</v>
      </c>
      <c r="F19" s="286">
        <f>'10.Grain Production details'!E103</f>
        <v>0</v>
      </c>
      <c r="G19" s="286">
        <f>'10.Grain Production details'!F103</f>
        <v>0</v>
      </c>
      <c r="H19" s="286">
        <f>'10.Grain Production details'!G103</f>
        <v>0</v>
      </c>
      <c r="I19" s="286">
        <f>'10.Grain Production details'!H103</f>
        <v>0</v>
      </c>
    </row>
    <row r="20" spans="1:9" ht="14.4">
      <c r="A20" s="76" t="str">
        <f>'10.Grain Production details'!A104</f>
        <v>Jawar</v>
      </c>
      <c r="B20" s="270"/>
      <c r="C20" s="286">
        <f>'10.Grain Production details'!B104</f>
        <v>0</v>
      </c>
      <c r="D20" s="286">
        <f>'10.Grain Production details'!C104</f>
        <v>0</v>
      </c>
      <c r="E20" s="286">
        <f>'10.Grain Production details'!D104</f>
        <v>0</v>
      </c>
      <c r="F20" s="286">
        <f>'10.Grain Production details'!E104</f>
        <v>0</v>
      </c>
      <c r="G20" s="286">
        <f>'10.Grain Production details'!F104</f>
        <v>0</v>
      </c>
      <c r="H20" s="286">
        <f>'10.Grain Production details'!G104</f>
        <v>0</v>
      </c>
      <c r="I20" s="286">
        <f>'10.Grain Production details'!H104</f>
        <v>0</v>
      </c>
    </row>
    <row r="21" spans="1:9" ht="15.75" customHeight="1">
      <c r="A21" s="76" t="str">
        <f>'10.Grain Production details'!A105</f>
        <v>Maize</v>
      </c>
      <c r="B21" s="270"/>
      <c r="C21" s="286">
        <f>'10.Grain Production details'!B105</f>
        <v>0</v>
      </c>
      <c r="D21" s="286">
        <f>'10.Grain Production details'!C105</f>
        <v>0</v>
      </c>
      <c r="E21" s="286">
        <f>'10.Grain Production details'!D105</f>
        <v>0</v>
      </c>
      <c r="F21" s="286">
        <f>'10.Grain Production details'!E105</f>
        <v>0</v>
      </c>
      <c r="G21" s="286">
        <f>'10.Grain Production details'!F105</f>
        <v>0</v>
      </c>
      <c r="H21" s="286">
        <f>'10.Grain Production details'!G105</f>
        <v>0</v>
      </c>
      <c r="I21" s="286">
        <f>'10.Grain Production details'!H105</f>
        <v>0</v>
      </c>
    </row>
    <row r="22" spans="1:9" ht="15.75" customHeight="1">
      <c r="A22" s="76" t="str">
        <f>'10.Grain Production details'!A106</f>
        <v>Safflower</v>
      </c>
      <c r="B22" s="270"/>
      <c r="C22" s="286">
        <f>'10.Grain Production details'!B106</f>
        <v>0</v>
      </c>
      <c r="D22" s="286">
        <f>'10.Grain Production details'!C106</f>
        <v>0</v>
      </c>
      <c r="E22" s="286">
        <f>'10.Grain Production details'!D106</f>
        <v>0</v>
      </c>
      <c r="F22" s="286">
        <f>'10.Grain Production details'!E106</f>
        <v>0</v>
      </c>
      <c r="G22" s="286">
        <f>'10.Grain Production details'!F106</f>
        <v>0</v>
      </c>
      <c r="H22" s="286">
        <f>'10.Grain Production details'!G106</f>
        <v>0</v>
      </c>
      <c r="I22" s="286">
        <f>'10.Grain Production details'!H106</f>
        <v>0</v>
      </c>
    </row>
    <row r="23" spans="1:9" ht="15.75" customHeight="1">
      <c r="A23" s="76">
        <f>'10.Grain Production details'!A107</f>
        <v>0</v>
      </c>
      <c r="B23" s="270"/>
      <c r="C23" s="286">
        <f>'10.Grain Production details'!B107</f>
        <v>0</v>
      </c>
      <c r="D23" s="286">
        <f>'10.Grain Production details'!C107</f>
        <v>0</v>
      </c>
      <c r="E23" s="286">
        <f>'10.Grain Production details'!D107</f>
        <v>0</v>
      </c>
      <c r="F23" s="286">
        <f>'10.Grain Production details'!E107</f>
        <v>0</v>
      </c>
      <c r="G23" s="286">
        <f>'10.Grain Production details'!F107</f>
        <v>0</v>
      </c>
      <c r="H23" s="286">
        <f>'10.Grain Production details'!G107</f>
        <v>0</v>
      </c>
      <c r="I23" s="286">
        <f>'10.Grain Production details'!H107</f>
        <v>0</v>
      </c>
    </row>
    <row r="24" spans="1:9" ht="15.75" customHeight="1">
      <c r="A24" s="76">
        <f>'10.Grain Production details'!A108</f>
        <v>0</v>
      </c>
      <c r="B24" s="270"/>
      <c r="C24" s="286">
        <f>'10.Grain Production details'!B108</f>
        <v>0</v>
      </c>
      <c r="D24" s="286">
        <f>'10.Grain Production details'!C108</f>
        <v>0</v>
      </c>
      <c r="E24" s="286">
        <f>'10.Grain Production details'!D108</f>
        <v>0</v>
      </c>
      <c r="F24" s="286">
        <f>'10.Grain Production details'!E108</f>
        <v>0</v>
      </c>
      <c r="G24" s="286">
        <f>'10.Grain Production details'!F108</f>
        <v>0</v>
      </c>
      <c r="H24" s="286">
        <f>'10.Grain Production details'!G108</f>
        <v>0</v>
      </c>
      <c r="I24" s="286">
        <f>'10.Grain Production details'!H108</f>
        <v>0</v>
      </c>
    </row>
    <row r="25" spans="1:9" ht="15.75" customHeight="1">
      <c r="A25" s="76">
        <f>'10.Grain Production details'!A109</f>
        <v>0</v>
      </c>
      <c r="B25" s="270"/>
      <c r="C25" s="286">
        <f>'10.Grain Production details'!B109</f>
        <v>0</v>
      </c>
      <c r="D25" s="286">
        <f>'10.Grain Production details'!C109</f>
        <v>0</v>
      </c>
      <c r="E25" s="286">
        <f>'10.Grain Production details'!D109</f>
        <v>0</v>
      </c>
      <c r="F25" s="286">
        <f>'10.Grain Production details'!E109</f>
        <v>0</v>
      </c>
      <c r="G25" s="286">
        <f>'10.Grain Production details'!F109</f>
        <v>0</v>
      </c>
      <c r="H25" s="286">
        <f>'10.Grain Production details'!G109</f>
        <v>0</v>
      </c>
      <c r="I25" s="286">
        <f>'10.Grain Production details'!H109</f>
        <v>0</v>
      </c>
    </row>
    <row r="26" spans="1:9" ht="15.75" customHeight="1">
      <c r="A26" s="79" t="str">
        <f>'10.Grain Production details'!A33</f>
        <v>Summer</v>
      </c>
      <c r="B26" s="270"/>
      <c r="C26" s="286"/>
      <c r="D26" s="286"/>
      <c r="E26" s="286"/>
      <c r="F26" s="286"/>
      <c r="G26" s="286"/>
      <c r="H26" s="286"/>
      <c r="I26" s="286"/>
    </row>
    <row r="27" spans="1:9" ht="15.75" customHeight="1">
      <c r="A27" s="76" t="str">
        <f>'10.Grain Production details'!A110</f>
        <v>Groundnut</v>
      </c>
      <c r="B27" s="270"/>
      <c r="C27" s="286">
        <f>'10.Grain Production details'!B111</f>
        <v>0</v>
      </c>
      <c r="D27" s="286">
        <f>'10.Grain Production details'!C111</f>
        <v>0</v>
      </c>
      <c r="E27" s="286">
        <f>'10.Grain Production details'!D111</f>
        <v>0</v>
      </c>
      <c r="F27" s="286">
        <f>'10.Grain Production details'!E111</f>
        <v>0</v>
      </c>
      <c r="G27" s="286">
        <f>'10.Grain Production details'!F111</f>
        <v>0</v>
      </c>
      <c r="H27" s="286">
        <f>'10.Grain Production details'!G111</f>
        <v>0</v>
      </c>
      <c r="I27" s="286">
        <f>'10.Grain Production details'!H111</f>
        <v>0</v>
      </c>
    </row>
    <row r="28" spans="1:9" ht="15.75" customHeight="1">
      <c r="A28" s="76">
        <f>'10.Grain Production details'!A111</f>
        <v>0</v>
      </c>
      <c r="B28" s="270"/>
      <c r="C28" s="286">
        <f>'10.Grain Production details'!B112</f>
        <v>0</v>
      </c>
      <c r="D28" s="286">
        <f>'10.Grain Production details'!C112</f>
        <v>0</v>
      </c>
      <c r="E28" s="286">
        <f>'10.Grain Production details'!D112</f>
        <v>0</v>
      </c>
      <c r="F28" s="286">
        <f>'10.Grain Production details'!E112</f>
        <v>0</v>
      </c>
      <c r="G28" s="286">
        <f>'10.Grain Production details'!F112</f>
        <v>0</v>
      </c>
      <c r="H28" s="286">
        <f>'10.Grain Production details'!G112</f>
        <v>0</v>
      </c>
      <c r="I28" s="286">
        <f>'10.Grain Production details'!H112</f>
        <v>0</v>
      </c>
    </row>
    <row r="29" spans="1:9" ht="15.75" customHeight="1">
      <c r="A29" s="76">
        <f>'10.Grain Production details'!A112</f>
        <v>0</v>
      </c>
      <c r="B29" s="270"/>
      <c r="C29" s="286">
        <f>'10.Grain Production details'!B113</f>
        <v>0</v>
      </c>
      <c r="D29" s="286">
        <f>'10.Grain Production details'!C113</f>
        <v>0</v>
      </c>
      <c r="E29" s="286">
        <f>'10.Grain Production details'!D113</f>
        <v>0</v>
      </c>
      <c r="F29" s="286">
        <f>'10.Grain Production details'!E113</f>
        <v>0</v>
      </c>
      <c r="G29" s="286">
        <f>'10.Grain Production details'!F113</f>
        <v>0</v>
      </c>
      <c r="H29" s="286">
        <f>'10.Grain Production details'!G113</f>
        <v>0</v>
      </c>
      <c r="I29" s="286">
        <f>'10.Grain Production details'!H113</f>
        <v>0</v>
      </c>
    </row>
    <row r="30" spans="1:9" ht="15.75" customHeight="1">
      <c r="A30" s="76">
        <f>'10.Grain Production details'!A113</f>
        <v>0</v>
      </c>
      <c r="B30" s="270"/>
      <c r="C30" s="286">
        <f>'10.Grain Production details'!B114</f>
        <v>0</v>
      </c>
      <c r="D30" s="286">
        <f>'10.Grain Production details'!C114</f>
        <v>0</v>
      </c>
      <c r="E30" s="286">
        <f>'10.Grain Production details'!D114</f>
        <v>0</v>
      </c>
      <c r="F30" s="286">
        <f>'10.Grain Production details'!E114</f>
        <v>0</v>
      </c>
      <c r="G30" s="286">
        <f>'10.Grain Production details'!F114</f>
        <v>0</v>
      </c>
      <c r="H30" s="286">
        <f>'10.Grain Production details'!G114</f>
        <v>0</v>
      </c>
      <c r="I30" s="286">
        <f>'10.Grain Production details'!H114</f>
        <v>0</v>
      </c>
    </row>
    <row r="31" spans="1:9" ht="15.75" customHeight="1">
      <c r="A31" s="76">
        <f>'10.Grain Production details'!A114</f>
        <v>0</v>
      </c>
      <c r="B31" s="270"/>
      <c r="C31" s="286">
        <f>'10.Grain Production details'!C115</f>
        <v>0</v>
      </c>
      <c r="D31" s="286">
        <f>'10.Grain Production details'!D115</f>
        <v>0</v>
      </c>
      <c r="E31" s="286">
        <f>'10.Grain Production details'!E115</f>
        <v>0</v>
      </c>
      <c r="F31" s="286">
        <f>'10.Grain Production details'!F115</f>
        <v>0</v>
      </c>
      <c r="G31" s="286">
        <f>'10.Grain Production details'!G115</f>
        <v>0</v>
      </c>
      <c r="H31" s="286">
        <f>'10.Grain Production details'!H115</f>
        <v>0</v>
      </c>
      <c r="I31" s="286">
        <f>'10.Grain Production details'!I115</f>
        <v>0</v>
      </c>
    </row>
    <row r="32" spans="1:9" ht="15.75" customHeight="1">
      <c r="A32" s="79" t="str">
        <f>'11.F&amp;V Crop Production details'!A1:H1</f>
        <v>Fruit  &amp; Vegetables Crop Production Details</v>
      </c>
      <c r="B32" s="270"/>
      <c r="C32" s="286"/>
      <c r="D32" s="286"/>
      <c r="E32" s="286"/>
      <c r="F32" s="286"/>
      <c r="G32" s="286"/>
      <c r="H32" s="286"/>
      <c r="I32" s="286"/>
    </row>
    <row r="33" spans="1:9" ht="15.75" customHeight="1">
      <c r="A33" s="76" t="str">
        <f>'11.F&amp;V Crop Production details'!A102</f>
        <v>Onion</v>
      </c>
      <c r="B33" s="270"/>
      <c r="C33" s="286">
        <f>'11.F&amp;V Crop Production details'!B102</f>
        <v>0</v>
      </c>
      <c r="D33" s="286">
        <f>'11.F&amp;V Crop Production details'!C102</f>
        <v>0</v>
      </c>
      <c r="E33" s="286">
        <f>'11.F&amp;V Crop Production details'!D102</f>
        <v>0</v>
      </c>
      <c r="F33" s="286">
        <f>'11.F&amp;V Crop Production details'!E102</f>
        <v>0</v>
      </c>
      <c r="G33" s="286">
        <f>'11.F&amp;V Crop Production details'!F102</f>
        <v>0</v>
      </c>
      <c r="H33" s="286">
        <f>'11.F&amp;V Crop Production details'!G102</f>
        <v>0</v>
      </c>
      <c r="I33" s="286">
        <f>'11.F&amp;V Crop Production details'!H102</f>
        <v>0</v>
      </c>
    </row>
    <row r="34" spans="1:9" ht="15.75" customHeight="1">
      <c r="A34" s="76" t="str">
        <f>'11.F&amp;V Crop Production details'!A103</f>
        <v>Tomato</v>
      </c>
      <c r="B34" s="270"/>
      <c r="C34" s="286">
        <f>'11.F&amp;V Crop Production details'!B103</f>
        <v>0</v>
      </c>
      <c r="D34" s="286">
        <f>'11.F&amp;V Crop Production details'!C103</f>
        <v>0</v>
      </c>
      <c r="E34" s="286">
        <f>'11.F&amp;V Crop Production details'!D103</f>
        <v>0</v>
      </c>
      <c r="F34" s="286">
        <f>'11.F&amp;V Crop Production details'!E103</f>
        <v>0</v>
      </c>
      <c r="G34" s="286">
        <f>'11.F&amp;V Crop Production details'!F103</f>
        <v>0</v>
      </c>
      <c r="H34" s="286">
        <f>'11.F&amp;V Crop Production details'!G103</f>
        <v>0</v>
      </c>
      <c r="I34" s="286">
        <f>'11.F&amp;V Crop Production details'!H103</f>
        <v>0</v>
      </c>
    </row>
    <row r="35" spans="1:9" ht="15.75" customHeight="1">
      <c r="A35" s="76" t="str">
        <f>'11.F&amp;V Crop Production details'!A104</f>
        <v>Okra</v>
      </c>
      <c r="B35" s="270"/>
      <c r="C35" s="286">
        <f>'11.F&amp;V Crop Production details'!B104</f>
        <v>0</v>
      </c>
      <c r="D35" s="286">
        <f>'11.F&amp;V Crop Production details'!C104</f>
        <v>0</v>
      </c>
      <c r="E35" s="286">
        <f>'11.F&amp;V Crop Production details'!D104</f>
        <v>0</v>
      </c>
      <c r="F35" s="286">
        <f>'11.F&amp;V Crop Production details'!E104</f>
        <v>0</v>
      </c>
      <c r="G35" s="286">
        <f>'11.F&amp;V Crop Production details'!F104</f>
        <v>0</v>
      </c>
      <c r="H35" s="286">
        <f>'11.F&amp;V Crop Production details'!G104</f>
        <v>0</v>
      </c>
      <c r="I35" s="286">
        <f>'11.F&amp;V Crop Production details'!H104</f>
        <v>0</v>
      </c>
    </row>
    <row r="36" spans="1:9" ht="15.75" customHeight="1">
      <c r="A36" s="76" t="str">
        <f>'11.F&amp;V Crop Production details'!A105</f>
        <v>Chilli</v>
      </c>
      <c r="B36" s="270"/>
      <c r="C36" s="286">
        <f>'11.F&amp;V Crop Production details'!B105</f>
        <v>0</v>
      </c>
      <c r="D36" s="286">
        <f>'11.F&amp;V Crop Production details'!C105</f>
        <v>0</v>
      </c>
      <c r="E36" s="286">
        <f>'11.F&amp;V Crop Production details'!D105</f>
        <v>0</v>
      </c>
      <c r="F36" s="286">
        <f>'11.F&amp;V Crop Production details'!E105</f>
        <v>0</v>
      </c>
      <c r="G36" s="286">
        <f>'11.F&amp;V Crop Production details'!F105</f>
        <v>0</v>
      </c>
      <c r="H36" s="286">
        <f>'11.F&amp;V Crop Production details'!G105</f>
        <v>0</v>
      </c>
      <c r="I36" s="286">
        <f>'11.F&amp;V Crop Production details'!H105</f>
        <v>0</v>
      </c>
    </row>
    <row r="37" spans="1:9" ht="15.75" customHeight="1">
      <c r="A37" s="76" t="str">
        <f>'11.F&amp;V Crop Production details'!A106</f>
        <v>Potato</v>
      </c>
      <c r="B37" s="270"/>
      <c r="C37" s="286">
        <f>'11.F&amp;V Crop Production details'!B106</f>
        <v>0</v>
      </c>
      <c r="D37" s="286">
        <f>'11.F&amp;V Crop Production details'!C106</f>
        <v>0</v>
      </c>
      <c r="E37" s="286">
        <f>'11.F&amp;V Crop Production details'!D106</f>
        <v>0</v>
      </c>
      <c r="F37" s="286">
        <f>'11.F&amp;V Crop Production details'!E106</f>
        <v>0</v>
      </c>
      <c r="G37" s="286">
        <f>'11.F&amp;V Crop Production details'!F106</f>
        <v>0</v>
      </c>
      <c r="H37" s="286">
        <f>'11.F&amp;V Crop Production details'!G106</f>
        <v>0</v>
      </c>
      <c r="I37" s="286">
        <f>'11.F&amp;V Crop Production details'!H106</f>
        <v>0</v>
      </c>
    </row>
    <row r="38" spans="1:9" ht="15.75" customHeight="1">
      <c r="A38" s="76">
        <f>'11.F&amp;V Crop Production details'!A107</f>
        <v>0</v>
      </c>
      <c r="B38" s="270"/>
      <c r="C38" s="286">
        <f>'11.F&amp;V Crop Production details'!B107</f>
        <v>0</v>
      </c>
      <c r="D38" s="286">
        <f>'11.F&amp;V Crop Production details'!C107</f>
        <v>0</v>
      </c>
      <c r="E38" s="286">
        <f>'11.F&amp;V Crop Production details'!D107</f>
        <v>0</v>
      </c>
      <c r="F38" s="286">
        <f>'11.F&amp;V Crop Production details'!E107</f>
        <v>0</v>
      </c>
      <c r="G38" s="286">
        <f>'11.F&amp;V Crop Production details'!F107</f>
        <v>0</v>
      </c>
      <c r="H38" s="286">
        <f>'11.F&amp;V Crop Production details'!G107</f>
        <v>0</v>
      </c>
      <c r="I38" s="286">
        <f>'11.F&amp;V Crop Production details'!H107</f>
        <v>0</v>
      </c>
    </row>
    <row r="39" spans="1:9" ht="15.75" customHeight="1">
      <c r="A39" s="76">
        <f>'11.F&amp;V Crop Production details'!A108</f>
        <v>0</v>
      </c>
      <c r="B39" s="270"/>
      <c r="C39" s="286">
        <f>'11.F&amp;V Crop Production details'!B108</f>
        <v>0</v>
      </c>
      <c r="D39" s="286">
        <f>'11.F&amp;V Crop Production details'!C108</f>
        <v>0</v>
      </c>
      <c r="E39" s="286">
        <f>'11.F&amp;V Crop Production details'!D108</f>
        <v>0</v>
      </c>
      <c r="F39" s="286">
        <f>'11.F&amp;V Crop Production details'!E108</f>
        <v>0</v>
      </c>
      <c r="G39" s="286">
        <f>'11.F&amp;V Crop Production details'!F108</f>
        <v>0</v>
      </c>
      <c r="H39" s="286">
        <f>'11.F&amp;V Crop Production details'!G108</f>
        <v>0</v>
      </c>
      <c r="I39" s="286">
        <f>'11.F&amp;V Crop Production details'!H108</f>
        <v>0</v>
      </c>
    </row>
    <row r="40" spans="1:9" ht="15.75" customHeight="1">
      <c r="A40" s="76">
        <f>'11.F&amp;V Crop Production details'!A109</f>
        <v>0</v>
      </c>
      <c r="B40" s="270"/>
      <c r="C40" s="286">
        <f>'11.F&amp;V Crop Production details'!B109</f>
        <v>0</v>
      </c>
      <c r="D40" s="286">
        <f>'11.F&amp;V Crop Production details'!C109</f>
        <v>0</v>
      </c>
      <c r="E40" s="286">
        <f>'11.F&amp;V Crop Production details'!D109</f>
        <v>0</v>
      </c>
      <c r="F40" s="286">
        <f>'11.F&amp;V Crop Production details'!E109</f>
        <v>0</v>
      </c>
      <c r="G40" s="286">
        <f>'11.F&amp;V Crop Production details'!F109</f>
        <v>0</v>
      </c>
      <c r="H40" s="286">
        <f>'11.F&amp;V Crop Production details'!G109</f>
        <v>0</v>
      </c>
      <c r="I40" s="286">
        <f>'11.F&amp;V Crop Production details'!H109</f>
        <v>0</v>
      </c>
    </row>
    <row r="41" spans="1:9" ht="15.75" customHeight="1">
      <c r="A41" s="76">
        <f>'11.F&amp;V Crop Production details'!A110</f>
        <v>0</v>
      </c>
      <c r="B41" s="270"/>
      <c r="C41" s="286">
        <f>'11.F&amp;V Crop Production details'!B110</f>
        <v>0</v>
      </c>
      <c r="D41" s="286">
        <f>'11.F&amp;V Crop Production details'!C110</f>
        <v>0</v>
      </c>
      <c r="E41" s="286">
        <f>'11.F&amp;V Crop Production details'!D110</f>
        <v>0</v>
      </c>
      <c r="F41" s="286">
        <f>'11.F&amp;V Crop Production details'!E110</f>
        <v>0</v>
      </c>
      <c r="G41" s="286">
        <f>'11.F&amp;V Crop Production details'!F110</f>
        <v>0</v>
      </c>
      <c r="H41" s="286">
        <f>'11.F&amp;V Crop Production details'!G110</f>
        <v>0</v>
      </c>
      <c r="I41" s="286">
        <f>'11.F&amp;V Crop Production details'!H110</f>
        <v>0</v>
      </c>
    </row>
    <row r="42" spans="1:9" ht="15.75" customHeight="1">
      <c r="A42" s="76" t="str">
        <f>'11.F&amp;V Crop Production details'!A111</f>
        <v>Onion</v>
      </c>
      <c r="B42" s="270"/>
      <c r="C42" s="286">
        <f>'11.F&amp;V Crop Production details'!B111</f>
        <v>0</v>
      </c>
      <c r="D42" s="286">
        <f>'11.F&amp;V Crop Production details'!C111</f>
        <v>0</v>
      </c>
      <c r="E42" s="286">
        <f>'11.F&amp;V Crop Production details'!D111</f>
        <v>0</v>
      </c>
      <c r="F42" s="286">
        <f>'11.F&amp;V Crop Production details'!E111</f>
        <v>0</v>
      </c>
      <c r="G42" s="286">
        <f>'11.F&amp;V Crop Production details'!F111</f>
        <v>0</v>
      </c>
      <c r="H42" s="286">
        <f>'11.F&amp;V Crop Production details'!G111</f>
        <v>0</v>
      </c>
      <c r="I42" s="286">
        <f>'11.F&amp;V Crop Production details'!H111</f>
        <v>0</v>
      </c>
    </row>
    <row r="43" spans="1:9" ht="15.75" customHeight="1">
      <c r="A43" s="76" t="str">
        <f>'11.F&amp;V Crop Production details'!A112</f>
        <v>Tomato</v>
      </c>
      <c r="B43" s="270"/>
      <c r="C43" s="286">
        <f>'11.F&amp;V Crop Production details'!B112</f>
        <v>0</v>
      </c>
      <c r="D43" s="286">
        <f>'11.F&amp;V Crop Production details'!C112</f>
        <v>0</v>
      </c>
      <c r="E43" s="286">
        <f>'11.F&amp;V Crop Production details'!D112</f>
        <v>0</v>
      </c>
      <c r="F43" s="286">
        <f>'11.F&amp;V Crop Production details'!E112</f>
        <v>0</v>
      </c>
      <c r="G43" s="286">
        <f>'11.F&amp;V Crop Production details'!F112</f>
        <v>0</v>
      </c>
      <c r="H43" s="286">
        <f>'11.F&amp;V Crop Production details'!G112</f>
        <v>0</v>
      </c>
      <c r="I43" s="286">
        <f>'11.F&amp;V Crop Production details'!H112</f>
        <v>0</v>
      </c>
    </row>
    <row r="44" spans="1:9" ht="15.75" customHeight="1">
      <c r="A44" s="76" t="str">
        <f>'11.F&amp;V Crop Production details'!A113</f>
        <v>Okra</v>
      </c>
      <c r="B44" s="270"/>
      <c r="C44" s="286">
        <f>'11.F&amp;V Crop Production details'!B113</f>
        <v>0</v>
      </c>
      <c r="D44" s="286">
        <f>'11.F&amp;V Crop Production details'!C113</f>
        <v>0</v>
      </c>
      <c r="E44" s="286">
        <f>'11.F&amp;V Crop Production details'!D113</f>
        <v>0</v>
      </c>
      <c r="F44" s="286">
        <f>'11.F&amp;V Crop Production details'!E113</f>
        <v>0</v>
      </c>
      <c r="G44" s="286">
        <f>'11.F&amp;V Crop Production details'!F113</f>
        <v>0</v>
      </c>
      <c r="H44" s="286">
        <f>'11.F&amp;V Crop Production details'!G113</f>
        <v>0</v>
      </c>
      <c r="I44" s="286">
        <f>'11.F&amp;V Crop Production details'!H113</f>
        <v>0</v>
      </c>
    </row>
    <row r="45" spans="1:9" ht="15.75" customHeight="1">
      <c r="A45" s="76" t="str">
        <f>'11.F&amp;V Crop Production details'!A114</f>
        <v>Chilli</v>
      </c>
      <c r="B45" s="270"/>
      <c r="C45" s="286">
        <f>'11.F&amp;V Crop Production details'!B114</f>
        <v>0</v>
      </c>
      <c r="D45" s="286">
        <f>'11.F&amp;V Crop Production details'!C114</f>
        <v>0</v>
      </c>
      <c r="E45" s="286">
        <f>'11.F&amp;V Crop Production details'!D114</f>
        <v>0</v>
      </c>
      <c r="F45" s="286">
        <f>'11.F&amp;V Crop Production details'!E114</f>
        <v>0</v>
      </c>
      <c r="G45" s="286">
        <f>'11.F&amp;V Crop Production details'!F114</f>
        <v>0</v>
      </c>
      <c r="H45" s="286">
        <f>'11.F&amp;V Crop Production details'!G114</f>
        <v>0</v>
      </c>
      <c r="I45" s="286">
        <f>'11.F&amp;V Crop Production details'!H114</f>
        <v>0</v>
      </c>
    </row>
    <row r="46" spans="1:9" ht="15.75" customHeight="1">
      <c r="A46" s="76" t="str">
        <f>'11.F&amp;V Crop Production details'!A115</f>
        <v>Brinjal</v>
      </c>
      <c r="B46" s="270"/>
      <c r="C46" s="286">
        <f>'11.F&amp;V Crop Production details'!B115</f>
        <v>0</v>
      </c>
      <c r="D46" s="286">
        <f>'11.F&amp;V Crop Production details'!C115</f>
        <v>0</v>
      </c>
      <c r="E46" s="286">
        <f>'11.F&amp;V Crop Production details'!D115</f>
        <v>0</v>
      </c>
      <c r="F46" s="286">
        <f>'11.F&amp;V Crop Production details'!E115</f>
        <v>0</v>
      </c>
      <c r="G46" s="286">
        <f>'11.F&amp;V Crop Production details'!F115</f>
        <v>0</v>
      </c>
      <c r="H46" s="286">
        <f>'11.F&amp;V Crop Production details'!G115</f>
        <v>0</v>
      </c>
      <c r="I46" s="286">
        <f>'11.F&amp;V Crop Production details'!H115</f>
        <v>0</v>
      </c>
    </row>
    <row r="47" spans="1:9" ht="15.75" customHeight="1">
      <c r="A47" s="76">
        <f>'11.F&amp;V Crop Production details'!A116</f>
        <v>0</v>
      </c>
      <c r="B47" s="270"/>
      <c r="C47" s="286">
        <f>'11.F&amp;V Crop Production details'!B116</f>
        <v>0</v>
      </c>
      <c r="D47" s="286">
        <f>'11.F&amp;V Crop Production details'!C116</f>
        <v>0</v>
      </c>
      <c r="E47" s="286">
        <f>'11.F&amp;V Crop Production details'!D116</f>
        <v>0</v>
      </c>
      <c r="F47" s="286">
        <f>'11.F&amp;V Crop Production details'!E116</f>
        <v>0</v>
      </c>
      <c r="G47" s="286">
        <f>'11.F&amp;V Crop Production details'!F116</f>
        <v>0</v>
      </c>
      <c r="H47" s="286">
        <f>'11.F&amp;V Crop Production details'!G116</f>
        <v>0</v>
      </c>
      <c r="I47" s="286">
        <f>'11.F&amp;V Crop Production details'!H116</f>
        <v>0</v>
      </c>
    </row>
    <row r="48" spans="1:9" ht="15.75" customHeight="1">
      <c r="A48" s="76">
        <f>'11.F&amp;V Crop Production details'!A117</f>
        <v>0</v>
      </c>
      <c r="B48" s="270"/>
      <c r="C48" s="286">
        <f>'11.F&amp;V Crop Production details'!B117</f>
        <v>0</v>
      </c>
      <c r="D48" s="286">
        <f>'11.F&amp;V Crop Production details'!C117</f>
        <v>0</v>
      </c>
      <c r="E48" s="286">
        <f>'11.F&amp;V Crop Production details'!D117</f>
        <v>0</v>
      </c>
      <c r="F48" s="286">
        <f>'11.F&amp;V Crop Production details'!E117</f>
        <v>0</v>
      </c>
      <c r="G48" s="286">
        <f>'11.F&amp;V Crop Production details'!F117</f>
        <v>0</v>
      </c>
      <c r="H48" s="286">
        <f>'11.F&amp;V Crop Production details'!G117</f>
        <v>0</v>
      </c>
      <c r="I48" s="286">
        <f>'11.F&amp;V Crop Production details'!H117</f>
        <v>0</v>
      </c>
    </row>
    <row r="49" spans="1:9" ht="15.75" customHeight="1">
      <c r="A49" s="76">
        <f>'11.F&amp;V Crop Production details'!A118</f>
        <v>0</v>
      </c>
      <c r="B49" s="270"/>
      <c r="C49" s="286">
        <f>'11.F&amp;V Crop Production details'!B118</f>
        <v>0</v>
      </c>
      <c r="D49" s="286">
        <f>'11.F&amp;V Crop Production details'!C118</f>
        <v>0</v>
      </c>
      <c r="E49" s="286">
        <f>'11.F&amp;V Crop Production details'!D118</f>
        <v>0</v>
      </c>
      <c r="F49" s="286">
        <f>'11.F&amp;V Crop Production details'!E118</f>
        <v>0</v>
      </c>
      <c r="G49" s="286">
        <f>'11.F&amp;V Crop Production details'!F118</f>
        <v>0</v>
      </c>
      <c r="H49" s="286">
        <f>'11.F&amp;V Crop Production details'!G118</f>
        <v>0</v>
      </c>
      <c r="I49" s="286">
        <f>'11.F&amp;V Crop Production details'!H118</f>
        <v>0</v>
      </c>
    </row>
    <row r="50" spans="1:9" ht="15.75" customHeight="1">
      <c r="A50" s="76">
        <f>'11.F&amp;V Crop Production details'!A119</f>
        <v>0</v>
      </c>
      <c r="B50" s="270"/>
      <c r="C50" s="286">
        <f>'11.F&amp;V Crop Production details'!B119</f>
        <v>0</v>
      </c>
      <c r="D50" s="286">
        <f>'11.F&amp;V Crop Production details'!C119</f>
        <v>0</v>
      </c>
      <c r="E50" s="286">
        <f>'11.F&amp;V Crop Production details'!D119</f>
        <v>0</v>
      </c>
      <c r="F50" s="286">
        <f>'11.F&amp;V Crop Production details'!E119</f>
        <v>0</v>
      </c>
      <c r="G50" s="286">
        <f>'11.F&amp;V Crop Production details'!F119</f>
        <v>0</v>
      </c>
      <c r="H50" s="286">
        <f>'11.F&amp;V Crop Production details'!G119</f>
        <v>0</v>
      </c>
      <c r="I50" s="286">
        <f>'11.F&amp;V Crop Production details'!H119</f>
        <v>0</v>
      </c>
    </row>
    <row r="51" spans="1:9" ht="15.75" customHeight="1">
      <c r="A51" s="76">
        <f>'11.F&amp;V Crop Production details'!A120</f>
        <v>0</v>
      </c>
      <c r="B51" s="270"/>
      <c r="C51" s="286">
        <f>'11.F&amp;V Crop Production details'!B120</f>
        <v>0</v>
      </c>
      <c r="D51" s="286">
        <f>'11.F&amp;V Crop Production details'!C120</f>
        <v>0</v>
      </c>
      <c r="E51" s="286">
        <f>'11.F&amp;V Crop Production details'!D120</f>
        <v>0</v>
      </c>
      <c r="F51" s="286">
        <f>'11.F&amp;V Crop Production details'!E120</f>
        <v>0</v>
      </c>
      <c r="G51" s="286">
        <f>'11.F&amp;V Crop Production details'!F120</f>
        <v>0</v>
      </c>
      <c r="H51" s="286">
        <f>'11.F&amp;V Crop Production details'!G120</f>
        <v>0</v>
      </c>
      <c r="I51" s="286">
        <f>'11.F&amp;V Crop Production details'!H120</f>
        <v>0</v>
      </c>
    </row>
    <row r="52" spans="1:9" ht="15.75" customHeight="1">
      <c r="A52" s="76">
        <f>'11.F&amp;V Crop Production details'!A121</f>
        <v>0</v>
      </c>
      <c r="B52" s="270"/>
      <c r="C52" s="286">
        <f>'11.F&amp;V Crop Production details'!B121</f>
        <v>0</v>
      </c>
      <c r="D52" s="286">
        <f>'11.F&amp;V Crop Production details'!C121</f>
        <v>0</v>
      </c>
      <c r="E52" s="286">
        <f>'11.F&amp;V Crop Production details'!D121</f>
        <v>0</v>
      </c>
      <c r="F52" s="286">
        <f>'11.F&amp;V Crop Production details'!E121</f>
        <v>0</v>
      </c>
      <c r="G52" s="286">
        <f>'11.F&amp;V Crop Production details'!F121</f>
        <v>0</v>
      </c>
      <c r="H52" s="286">
        <f>'11.F&amp;V Crop Production details'!G121</f>
        <v>0</v>
      </c>
      <c r="I52" s="286">
        <f>'11.F&amp;V Crop Production details'!H121</f>
        <v>0</v>
      </c>
    </row>
    <row r="53" spans="1:9" ht="15.75" customHeight="1">
      <c r="A53" s="76">
        <f>'11.F&amp;V Crop Production details'!A122</f>
        <v>0</v>
      </c>
      <c r="B53" s="270"/>
      <c r="C53" s="286">
        <f>'11.F&amp;V Crop Production details'!B122</f>
        <v>0</v>
      </c>
      <c r="D53" s="286">
        <f>'11.F&amp;V Crop Production details'!C122</f>
        <v>0</v>
      </c>
      <c r="E53" s="286">
        <f>'11.F&amp;V Crop Production details'!D122</f>
        <v>0</v>
      </c>
      <c r="F53" s="286">
        <f>'11.F&amp;V Crop Production details'!E122</f>
        <v>0</v>
      </c>
      <c r="G53" s="286">
        <f>'11.F&amp;V Crop Production details'!F122</f>
        <v>0</v>
      </c>
      <c r="H53" s="286">
        <f>'11.F&amp;V Crop Production details'!G122</f>
        <v>0</v>
      </c>
      <c r="I53" s="286">
        <f>'11.F&amp;V Crop Production details'!H122</f>
        <v>0</v>
      </c>
    </row>
    <row r="54" spans="1:9" ht="15.75" customHeight="1">
      <c r="A54" s="76" t="str">
        <f>'11.F&amp;V Crop Production details'!A123</f>
        <v>Pomegranate</v>
      </c>
      <c r="B54" s="270"/>
      <c r="C54" s="286">
        <f>'11.F&amp;V Crop Production details'!B123</f>
        <v>0</v>
      </c>
      <c r="D54" s="286">
        <f>'11.F&amp;V Crop Production details'!C123</f>
        <v>0</v>
      </c>
      <c r="E54" s="286">
        <f>'11.F&amp;V Crop Production details'!D123</f>
        <v>0</v>
      </c>
      <c r="F54" s="286">
        <f>'11.F&amp;V Crop Production details'!E123</f>
        <v>0</v>
      </c>
      <c r="G54" s="286">
        <f>'11.F&amp;V Crop Production details'!F123</f>
        <v>0</v>
      </c>
      <c r="H54" s="286">
        <f>'11.F&amp;V Crop Production details'!G123</f>
        <v>0</v>
      </c>
      <c r="I54" s="286">
        <f>'11.F&amp;V Crop Production details'!H123</f>
        <v>0</v>
      </c>
    </row>
    <row r="55" spans="1:9" ht="15.75" customHeight="1">
      <c r="A55" s="76" t="str">
        <f>'11.F&amp;V Crop Production details'!A124</f>
        <v>Custard Apple</v>
      </c>
      <c r="B55" s="270"/>
      <c r="C55" s="286">
        <f>'11.F&amp;V Crop Production details'!B124</f>
        <v>0</v>
      </c>
      <c r="D55" s="286">
        <f>'11.F&amp;V Crop Production details'!C124</f>
        <v>0</v>
      </c>
      <c r="E55" s="286">
        <f>'11.F&amp;V Crop Production details'!D124</f>
        <v>0</v>
      </c>
      <c r="F55" s="286">
        <f>'11.F&amp;V Crop Production details'!E124</f>
        <v>0</v>
      </c>
      <c r="G55" s="286">
        <f>'11.F&amp;V Crop Production details'!F124</f>
        <v>0</v>
      </c>
      <c r="H55" s="286">
        <f>'11.F&amp;V Crop Production details'!G124</f>
        <v>0</v>
      </c>
      <c r="I55" s="286">
        <f>'11.F&amp;V Crop Production details'!H124</f>
        <v>0</v>
      </c>
    </row>
    <row r="56" spans="1:9" ht="15.75" customHeight="1">
      <c r="A56" s="76" t="str">
        <f>'11.F&amp;V Crop Production details'!A125</f>
        <v>Guava</v>
      </c>
      <c r="B56" s="270"/>
      <c r="C56" s="286">
        <f>'11.F&amp;V Crop Production details'!B125</f>
        <v>0</v>
      </c>
      <c r="D56" s="286">
        <f>'11.F&amp;V Crop Production details'!C125</f>
        <v>0</v>
      </c>
      <c r="E56" s="286">
        <f>'11.F&amp;V Crop Production details'!D125</f>
        <v>0</v>
      </c>
      <c r="F56" s="286">
        <f>'11.F&amp;V Crop Production details'!E125</f>
        <v>0</v>
      </c>
      <c r="G56" s="286">
        <f>'11.F&amp;V Crop Production details'!F125</f>
        <v>0</v>
      </c>
      <c r="H56" s="286">
        <f>'11.F&amp;V Crop Production details'!G125</f>
        <v>0</v>
      </c>
      <c r="I56" s="286">
        <f>'11.F&amp;V Crop Production details'!H125</f>
        <v>0</v>
      </c>
    </row>
    <row r="57" spans="1:9" ht="15.75" customHeight="1">
      <c r="A57" s="76" t="str">
        <f>'11.F&amp;V Crop Production details'!A126</f>
        <v>Citrus</v>
      </c>
      <c r="B57" s="270"/>
      <c r="C57" s="286">
        <f>'11.F&amp;V Crop Production details'!B126</f>
        <v>0</v>
      </c>
      <c r="D57" s="286">
        <f>'11.F&amp;V Crop Production details'!C126</f>
        <v>0</v>
      </c>
      <c r="E57" s="286">
        <f>'11.F&amp;V Crop Production details'!D126</f>
        <v>0</v>
      </c>
      <c r="F57" s="286">
        <f>'11.F&amp;V Crop Production details'!E126</f>
        <v>0</v>
      </c>
      <c r="G57" s="286">
        <f>'11.F&amp;V Crop Production details'!F126</f>
        <v>0</v>
      </c>
      <c r="H57" s="286">
        <f>'11.F&amp;V Crop Production details'!G126</f>
        <v>0</v>
      </c>
      <c r="I57" s="286">
        <f>'11.F&amp;V Crop Production details'!H126</f>
        <v>0</v>
      </c>
    </row>
    <row r="58" spans="1:9" ht="15.75" customHeight="1">
      <c r="A58" s="76"/>
      <c r="B58" s="270"/>
      <c r="C58" s="270"/>
      <c r="D58" s="270"/>
      <c r="E58" s="270"/>
      <c r="F58" s="270"/>
      <c r="G58" s="270"/>
      <c r="H58" s="270"/>
      <c r="I58" s="270"/>
    </row>
    <row r="59" spans="1:9" ht="15.75" customHeight="1">
      <c r="A59" s="79" t="s">
        <v>666</v>
      </c>
      <c r="B59" s="76"/>
      <c r="C59" s="76"/>
      <c r="D59" s="76"/>
      <c r="E59" s="76"/>
      <c r="F59" s="76"/>
      <c r="G59" s="76"/>
      <c r="H59" s="76"/>
      <c r="I59" s="76"/>
    </row>
    <row r="60" spans="1:9" ht="15.75" customHeight="1">
      <c r="A60" s="79" t="s">
        <v>667</v>
      </c>
      <c r="B60" s="76"/>
      <c r="C60" s="76"/>
      <c r="D60" s="76"/>
      <c r="E60" s="76"/>
      <c r="F60" s="76"/>
      <c r="G60" s="76"/>
      <c r="H60" s="76"/>
      <c r="I60" s="76"/>
    </row>
    <row r="61" spans="1:9" ht="15.75" customHeight="1">
      <c r="A61" s="79" t="str">
        <f t="shared" ref="A61:A110" si="0">A8</f>
        <v>Kharif Crops</v>
      </c>
      <c r="B61" s="76"/>
      <c r="C61" s="76"/>
      <c r="D61" s="76"/>
      <c r="E61" s="76"/>
      <c r="F61" s="76"/>
      <c r="G61" s="76"/>
      <c r="H61" s="76"/>
      <c r="I61" s="76"/>
    </row>
    <row r="62" spans="1:9" ht="15.75" customHeight="1">
      <c r="A62" s="76" t="str">
        <f t="shared" si="0"/>
        <v>Soybean</v>
      </c>
      <c r="B62" s="50">
        <v>40</v>
      </c>
      <c r="C62" s="270">
        <f t="shared" ref="C62:I62" si="1">$B62*C9</f>
        <v>0</v>
      </c>
      <c r="D62" s="270">
        <f t="shared" si="1"/>
        <v>0</v>
      </c>
      <c r="E62" s="270">
        <f t="shared" si="1"/>
        <v>0</v>
      </c>
      <c r="F62" s="270">
        <f t="shared" si="1"/>
        <v>0</v>
      </c>
      <c r="G62" s="270">
        <f t="shared" si="1"/>
        <v>0</v>
      </c>
      <c r="H62" s="270">
        <f t="shared" si="1"/>
        <v>0</v>
      </c>
      <c r="I62" s="270">
        <f t="shared" si="1"/>
        <v>0</v>
      </c>
    </row>
    <row r="63" spans="1:9" ht="15.75" customHeight="1">
      <c r="A63" s="76" t="str">
        <f t="shared" si="0"/>
        <v>Red Gram/Tur</v>
      </c>
      <c r="B63" s="50">
        <v>5</v>
      </c>
      <c r="C63" s="270">
        <f t="shared" ref="C63:C69" si="2">$B63*C10</f>
        <v>0</v>
      </c>
      <c r="D63" s="270">
        <f t="shared" ref="D63:I63" si="3">$B$63*D10</f>
        <v>0</v>
      </c>
      <c r="E63" s="270">
        <f t="shared" si="3"/>
        <v>0</v>
      </c>
      <c r="F63" s="270">
        <f t="shared" si="3"/>
        <v>0</v>
      </c>
      <c r="G63" s="270">
        <f t="shared" si="3"/>
        <v>0</v>
      </c>
      <c r="H63" s="270">
        <f t="shared" si="3"/>
        <v>0</v>
      </c>
      <c r="I63" s="270">
        <f t="shared" si="3"/>
        <v>0</v>
      </c>
    </row>
    <row r="64" spans="1:9" ht="15.75" customHeight="1">
      <c r="A64" s="76" t="str">
        <f t="shared" si="0"/>
        <v>Turmeric</v>
      </c>
      <c r="B64" s="50">
        <v>15</v>
      </c>
      <c r="C64" s="270">
        <f t="shared" si="2"/>
        <v>2925</v>
      </c>
      <c r="D64" s="270">
        <f t="shared" ref="D64:I64" si="4">$B$64*D11</f>
        <v>3150.0000000000005</v>
      </c>
      <c r="E64" s="270">
        <f t="shared" si="4"/>
        <v>3375.0000000000005</v>
      </c>
      <c r="F64" s="270">
        <f t="shared" si="4"/>
        <v>3600.0000000000009</v>
      </c>
      <c r="G64" s="270">
        <f t="shared" si="4"/>
        <v>3825.0000000000009</v>
      </c>
      <c r="H64" s="270">
        <f t="shared" si="4"/>
        <v>4050.0000000000009</v>
      </c>
      <c r="I64" s="270">
        <f t="shared" si="4"/>
        <v>4275.0000000000018</v>
      </c>
    </row>
    <row r="65" spans="1:9" ht="15.75" customHeight="1">
      <c r="A65" s="76" t="str">
        <f t="shared" si="0"/>
        <v>Green Gram/ Moong</v>
      </c>
      <c r="B65" s="50">
        <v>15</v>
      </c>
      <c r="C65" s="270">
        <f t="shared" si="2"/>
        <v>0</v>
      </c>
      <c r="D65" s="270">
        <f t="shared" ref="D65:I65" si="5">$B65*D12</f>
        <v>0</v>
      </c>
      <c r="E65" s="270">
        <f t="shared" si="5"/>
        <v>0</v>
      </c>
      <c r="F65" s="270">
        <f t="shared" si="5"/>
        <v>0</v>
      </c>
      <c r="G65" s="270">
        <f t="shared" si="5"/>
        <v>0</v>
      </c>
      <c r="H65" s="270">
        <f t="shared" si="5"/>
        <v>0</v>
      </c>
      <c r="I65" s="270">
        <f t="shared" si="5"/>
        <v>0</v>
      </c>
    </row>
    <row r="66" spans="1:9" ht="15.75" customHeight="1">
      <c r="A66" s="76" t="str">
        <f t="shared" si="0"/>
        <v>Maize</v>
      </c>
      <c r="B66" s="50">
        <v>25</v>
      </c>
      <c r="C66" s="270">
        <f t="shared" si="2"/>
        <v>0</v>
      </c>
      <c r="D66" s="270">
        <f t="shared" ref="D66:I66" si="6">$B66*D13</f>
        <v>0</v>
      </c>
      <c r="E66" s="270">
        <f t="shared" si="6"/>
        <v>0</v>
      </c>
      <c r="F66" s="270">
        <f t="shared" si="6"/>
        <v>0</v>
      </c>
      <c r="G66" s="270">
        <f t="shared" si="6"/>
        <v>0</v>
      </c>
      <c r="H66" s="270">
        <f t="shared" si="6"/>
        <v>0</v>
      </c>
      <c r="I66" s="270">
        <f t="shared" si="6"/>
        <v>0</v>
      </c>
    </row>
    <row r="67" spans="1:9" ht="15.75" customHeight="1">
      <c r="A67" s="76" t="str">
        <f t="shared" si="0"/>
        <v>Black Gram/Udid</v>
      </c>
      <c r="B67" s="50">
        <v>15</v>
      </c>
      <c r="C67" s="270">
        <f t="shared" si="2"/>
        <v>0</v>
      </c>
      <c r="D67" s="270">
        <f t="shared" ref="D67:I67" si="7">$B67*D14</f>
        <v>0</v>
      </c>
      <c r="E67" s="270">
        <f t="shared" si="7"/>
        <v>0</v>
      </c>
      <c r="F67" s="270">
        <f t="shared" si="7"/>
        <v>0</v>
      </c>
      <c r="G67" s="270">
        <f t="shared" si="7"/>
        <v>0</v>
      </c>
      <c r="H67" s="270">
        <f t="shared" si="7"/>
        <v>0</v>
      </c>
      <c r="I67" s="270">
        <f t="shared" si="7"/>
        <v>0</v>
      </c>
    </row>
    <row r="68" spans="1:9" ht="15.75" customHeight="1">
      <c r="A68" s="76" t="str">
        <f t="shared" si="0"/>
        <v>Bajra</v>
      </c>
      <c r="B68" s="50">
        <v>5</v>
      </c>
      <c r="C68" s="270">
        <f t="shared" si="2"/>
        <v>0</v>
      </c>
      <c r="D68" s="270">
        <f t="shared" ref="D68:I68" si="8">$B68*D15</f>
        <v>0</v>
      </c>
      <c r="E68" s="270">
        <f t="shared" si="8"/>
        <v>0</v>
      </c>
      <c r="F68" s="270">
        <f t="shared" si="8"/>
        <v>0</v>
      </c>
      <c r="G68" s="270">
        <f t="shared" si="8"/>
        <v>0</v>
      </c>
      <c r="H68" s="270">
        <f t="shared" si="8"/>
        <v>0</v>
      </c>
      <c r="I68" s="270">
        <f t="shared" si="8"/>
        <v>0</v>
      </c>
    </row>
    <row r="69" spans="1:9" ht="15.75" customHeight="1">
      <c r="A69" s="76" t="str">
        <f t="shared" si="0"/>
        <v>Jawar</v>
      </c>
      <c r="B69" s="50">
        <v>5</v>
      </c>
      <c r="C69" s="270">
        <f t="shared" si="2"/>
        <v>0</v>
      </c>
      <c r="D69" s="270">
        <f t="shared" ref="D69:I69" si="9">$B69*D16</f>
        <v>0</v>
      </c>
      <c r="E69" s="270">
        <f t="shared" si="9"/>
        <v>0</v>
      </c>
      <c r="F69" s="270">
        <f t="shared" si="9"/>
        <v>0</v>
      </c>
      <c r="G69" s="270">
        <f t="shared" si="9"/>
        <v>0</v>
      </c>
      <c r="H69" s="270">
        <f t="shared" si="9"/>
        <v>0</v>
      </c>
      <c r="I69" s="270">
        <f t="shared" si="9"/>
        <v>0</v>
      </c>
    </row>
    <row r="70" spans="1:9" ht="15.75" customHeight="1">
      <c r="A70" s="79" t="str">
        <f t="shared" si="0"/>
        <v>Rabi Crop</v>
      </c>
      <c r="B70" s="50"/>
      <c r="C70" s="270"/>
      <c r="D70" s="270"/>
      <c r="E70" s="270"/>
      <c r="F70" s="270"/>
      <c r="G70" s="270"/>
      <c r="H70" s="270"/>
      <c r="I70" s="270"/>
    </row>
    <row r="71" spans="1:9" ht="15.75" customHeight="1">
      <c r="A71" s="76" t="str">
        <f t="shared" si="0"/>
        <v>Wheat</v>
      </c>
      <c r="B71" s="50">
        <v>20</v>
      </c>
      <c r="C71" s="270">
        <f t="shared" ref="C71:I71" si="10">$B71*C18</f>
        <v>0</v>
      </c>
      <c r="D71" s="270">
        <f t="shared" si="10"/>
        <v>0</v>
      </c>
      <c r="E71" s="270">
        <f t="shared" si="10"/>
        <v>0</v>
      </c>
      <c r="F71" s="270">
        <f t="shared" si="10"/>
        <v>0</v>
      </c>
      <c r="G71" s="270">
        <f t="shared" si="10"/>
        <v>0</v>
      </c>
      <c r="H71" s="270">
        <f t="shared" si="10"/>
        <v>0</v>
      </c>
      <c r="I71" s="270">
        <f t="shared" si="10"/>
        <v>0</v>
      </c>
    </row>
    <row r="72" spans="1:9" ht="15.75" customHeight="1">
      <c r="A72" s="76" t="str">
        <f t="shared" si="0"/>
        <v>Bengal Gram/Channa</v>
      </c>
      <c r="B72" s="50">
        <v>25</v>
      </c>
      <c r="C72" s="270">
        <f t="shared" ref="C72:I72" si="11">$B72*C19</f>
        <v>0</v>
      </c>
      <c r="D72" s="270">
        <f t="shared" si="11"/>
        <v>0</v>
      </c>
      <c r="E72" s="270">
        <f t="shared" si="11"/>
        <v>0</v>
      </c>
      <c r="F72" s="270">
        <f t="shared" si="11"/>
        <v>0</v>
      </c>
      <c r="G72" s="270">
        <f t="shared" si="11"/>
        <v>0</v>
      </c>
      <c r="H72" s="270">
        <f t="shared" si="11"/>
        <v>0</v>
      </c>
      <c r="I72" s="270">
        <f t="shared" si="11"/>
        <v>0</v>
      </c>
    </row>
    <row r="73" spans="1:9" ht="15.75" customHeight="1">
      <c r="A73" s="76" t="str">
        <f t="shared" si="0"/>
        <v>Jawar</v>
      </c>
      <c r="B73" s="50">
        <v>5</v>
      </c>
      <c r="C73" s="270">
        <f t="shared" ref="C73:I73" si="12">$B73*C20</f>
        <v>0</v>
      </c>
      <c r="D73" s="270">
        <f t="shared" si="12"/>
        <v>0</v>
      </c>
      <c r="E73" s="270">
        <f t="shared" si="12"/>
        <v>0</v>
      </c>
      <c r="F73" s="270">
        <f t="shared" si="12"/>
        <v>0</v>
      </c>
      <c r="G73" s="270">
        <f t="shared" si="12"/>
        <v>0</v>
      </c>
      <c r="H73" s="270">
        <f t="shared" si="12"/>
        <v>0</v>
      </c>
      <c r="I73" s="270">
        <f t="shared" si="12"/>
        <v>0</v>
      </c>
    </row>
    <row r="74" spans="1:9" ht="15.75" customHeight="1">
      <c r="A74" s="76" t="str">
        <f t="shared" si="0"/>
        <v>Maize</v>
      </c>
      <c r="B74" s="50">
        <v>20</v>
      </c>
      <c r="C74" s="270">
        <f t="shared" ref="C74:I74" si="13">$B74*C21</f>
        <v>0</v>
      </c>
      <c r="D74" s="270">
        <f t="shared" si="13"/>
        <v>0</v>
      </c>
      <c r="E74" s="270">
        <f t="shared" si="13"/>
        <v>0</v>
      </c>
      <c r="F74" s="270">
        <f t="shared" si="13"/>
        <v>0</v>
      </c>
      <c r="G74" s="270">
        <f t="shared" si="13"/>
        <v>0</v>
      </c>
      <c r="H74" s="270">
        <f t="shared" si="13"/>
        <v>0</v>
      </c>
      <c r="I74" s="270">
        <f t="shared" si="13"/>
        <v>0</v>
      </c>
    </row>
    <row r="75" spans="1:9" ht="15.75" customHeight="1">
      <c r="A75" s="76" t="str">
        <f t="shared" si="0"/>
        <v>Safflower</v>
      </c>
      <c r="B75" s="50"/>
      <c r="C75" s="270">
        <f t="shared" ref="C75:I75" si="14">$B75*C22</f>
        <v>0</v>
      </c>
      <c r="D75" s="270">
        <f t="shared" si="14"/>
        <v>0</v>
      </c>
      <c r="E75" s="270">
        <f t="shared" si="14"/>
        <v>0</v>
      </c>
      <c r="F75" s="270">
        <f t="shared" si="14"/>
        <v>0</v>
      </c>
      <c r="G75" s="270">
        <f t="shared" si="14"/>
        <v>0</v>
      </c>
      <c r="H75" s="270">
        <f t="shared" si="14"/>
        <v>0</v>
      </c>
      <c r="I75" s="270">
        <f t="shared" si="14"/>
        <v>0</v>
      </c>
    </row>
    <row r="76" spans="1:9" ht="15.75" customHeight="1">
      <c r="A76" s="76">
        <f t="shared" si="0"/>
        <v>0</v>
      </c>
      <c r="B76" s="50"/>
      <c r="C76" s="270">
        <f t="shared" ref="C76:I76" si="15">$B76*C23</f>
        <v>0</v>
      </c>
      <c r="D76" s="270">
        <f t="shared" si="15"/>
        <v>0</v>
      </c>
      <c r="E76" s="270">
        <f t="shared" si="15"/>
        <v>0</v>
      </c>
      <c r="F76" s="270">
        <f t="shared" si="15"/>
        <v>0</v>
      </c>
      <c r="G76" s="270">
        <f t="shared" si="15"/>
        <v>0</v>
      </c>
      <c r="H76" s="270">
        <f t="shared" si="15"/>
        <v>0</v>
      </c>
      <c r="I76" s="270">
        <f t="shared" si="15"/>
        <v>0</v>
      </c>
    </row>
    <row r="77" spans="1:9" ht="15.75" customHeight="1">
      <c r="A77" s="76">
        <f t="shared" si="0"/>
        <v>0</v>
      </c>
      <c r="B77" s="50"/>
      <c r="C77" s="270">
        <f t="shared" ref="C77:I77" si="16">$B77*C24</f>
        <v>0</v>
      </c>
      <c r="D77" s="270">
        <f t="shared" si="16"/>
        <v>0</v>
      </c>
      <c r="E77" s="270">
        <f t="shared" si="16"/>
        <v>0</v>
      </c>
      <c r="F77" s="270">
        <f t="shared" si="16"/>
        <v>0</v>
      </c>
      <c r="G77" s="270">
        <f t="shared" si="16"/>
        <v>0</v>
      </c>
      <c r="H77" s="270">
        <f t="shared" si="16"/>
        <v>0</v>
      </c>
      <c r="I77" s="270">
        <f t="shared" si="16"/>
        <v>0</v>
      </c>
    </row>
    <row r="78" spans="1:9" ht="15.75" customHeight="1">
      <c r="A78" s="76">
        <f t="shared" si="0"/>
        <v>0</v>
      </c>
      <c r="B78" s="50"/>
      <c r="C78" s="270">
        <f t="shared" ref="C78:I78" si="17">$B78*C25</f>
        <v>0</v>
      </c>
      <c r="D78" s="270">
        <f t="shared" si="17"/>
        <v>0</v>
      </c>
      <c r="E78" s="270">
        <f t="shared" si="17"/>
        <v>0</v>
      </c>
      <c r="F78" s="270">
        <f t="shared" si="17"/>
        <v>0</v>
      </c>
      <c r="G78" s="270">
        <f t="shared" si="17"/>
        <v>0</v>
      </c>
      <c r="H78" s="270">
        <f t="shared" si="17"/>
        <v>0</v>
      </c>
      <c r="I78" s="270">
        <f t="shared" si="17"/>
        <v>0</v>
      </c>
    </row>
    <row r="79" spans="1:9" ht="15.75" customHeight="1">
      <c r="A79" s="79" t="str">
        <f t="shared" si="0"/>
        <v>Summer</v>
      </c>
      <c r="B79" s="50"/>
      <c r="C79" s="270"/>
      <c r="D79" s="270"/>
      <c r="E79" s="270"/>
      <c r="F79" s="270"/>
      <c r="G79" s="270"/>
      <c r="H79" s="270"/>
      <c r="I79" s="270"/>
    </row>
    <row r="80" spans="1:9" ht="15.75" customHeight="1">
      <c r="A80" s="76" t="str">
        <f t="shared" si="0"/>
        <v>Groundnut</v>
      </c>
      <c r="B80" s="50"/>
      <c r="C80" s="270">
        <f t="shared" ref="C80:I80" si="18">$B80*C27</f>
        <v>0</v>
      </c>
      <c r="D80" s="270">
        <f t="shared" si="18"/>
        <v>0</v>
      </c>
      <c r="E80" s="270">
        <f t="shared" si="18"/>
        <v>0</v>
      </c>
      <c r="F80" s="270">
        <f t="shared" si="18"/>
        <v>0</v>
      </c>
      <c r="G80" s="270">
        <f t="shared" si="18"/>
        <v>0</v>
      </c>
      <c r="H80" s="270">
        <f t="shared" si="18"/>
        <v>0</v>
      </c>
      <c r="I80" s="270">
        <f t="shared" si="18"/>
        <v>0</v>
      </c>
    </row>
    <row r="81" spans="1:9" ht="15.75" customHeight="1">
      <c r="A81" s="76">
        <f t="shared" si="0"/>
        <v>0</v>
      </c>
      <c r="B81" s="50"/>
      <c r="C81" s="270">
        <f t="shared" ref="C81:I81" si="19">$B81*C28</f>
        <v>0</v>
      </c>
      <c r="D81" s="270">
        <f t="shared" si="19"/>
        <v>0</v>
      </c>
      <c r="E81" s="270">
        <f t="shared" si="19"/>
        <v>0</v>
      </c>
      <c r="F81" s="270">
        <f t="shared" si="19"/>
        <v>0</v>
      </c>
      <c r="G81" s="270">
        <f t="shared" si="19"/>
        <v>0</v>
      </c>
      <c r="H81" s="270">
        <f t="shared" si="19"/>
        <v>0</v>
      </c>
      <c r="I81" s="270">
        <f t="shared" si="19"/>
        <v>0</v>
      </c>
    </row>
    <row r="82" spans="1:9" ht="15.75" customHeight="1">
      <c r="A82" s="76">
        <f t="shared" si="0"/>
        <v>0</v>
      </c>
      <c r="B82" s="50"/>
      <c r="C82" s="270">
        <f t="shared" ref="C82:I82" si="20">$B82*C29</f>
        <v>0</v>
      </c>
      <c r="D82" s="270">
        <f t="shared" si="20"/>
        <v>0</v>
      </c>
      <c r="E82" s="270">
        <f t="shared" si="20"/>
        <v>0</v>
      </c>
      <c r="F82" s="270">
        <f t="shared" si="20"/>
        <v>0</v>
      </c>
      <c r="G82" s="270">
        <f t="shared" si="20"/>
        <v>0</v>
      </c>
      <c r="H82" s="270">
        <f t="shared" si="20"/>
        <v>0</v>
      </c>
      <c r="I82" s="270">
        <f t="shared" si="20"/>
        <v>0</v>
      </c>
    </row>
    <row r="83" spans="1:9" ht="15.75" customHeight="1">
      <c r="A83" s="76">
        <f t="shared" si="0"/>
        <v>0</v>
      </c>
      <c r="B83" s="50"/>
      <c r="C83" s="270">
        <f t="shared" ref="C83:I83" si="21">$B83*C30</f>
        <v>0</v>
      </c>
      <c r="D83" s="270">
        <f t="shared" si="21"/>
        <v>0</v>
      </c>
      <c r="E83" s="270">
        <f t="shared" si="21"/>
        <v>0</v>
      </c>
      <c r="F83" s="270">
        <f t="shared" si="21"/>
        <v>0</v>
      </c>
      <c r="G83" s="270">
        <f t="shared" si="21"/>
        <v>0</v>
      </c>
      <c r="H83" s="270">
        <f t="shared" si="21"/>
        <v>0</v>
      </c>
      <c r="I83" s="270">
        <f t="shared" si="21"/>
        <v>0</v>
      </c>
    </row>
    <row r="84" spans="1:9" ht="15.75" customHeight="1">
      <c r="A84" s="76">
        <f t="shared" si="0"/>
        <v>0</v>
      </c>
      <c r="B84" s="50"/>
      <c r="C84" s="270">
        <f t="shared" ref="C84:I84" si="22">$B84*C31</f>
        <v>0</v>
      </c>
      <c r="D84" s="270">
        <f t="shared" si="22"/>
        <v>0</v>
      </c>
      <c r="E84" s="270">
        <f t="shared" si="22"/>
        <v>0</v>
      </c>
      <c r="F84" s="270">
        <f t="shared" si="22"/>
        <v>0</v>
      </c>
      <c r="G84" s="270">
        <f t="shared" si="22"/>
        <v>0</v>
      </c>
      <c r="H84" s="270">
        <f t="shared" si="22"/>
        <v>0</v>
      </c>
      <c r="I84" s="270">
        <f t="shared" si="22"/>
        <v>0</v>
      </c>
    </row>
    <row r="85" spans="1:9" ht="15.75" customHeight="1">
      <c r="A85" s="79" t="str">
        <f t="shared" si="0"/>
        <v>Fruit  &amp; Vegetables Crop Production Details</v>
      </c>
      <c r="B85" s="50"/>
      <c r="C85" s="270"/>
      <c r="D85" s="270"/>
      <c r="E85" s="270"/>
      <c r="F85" s="270"/>
      <c r="G85" s="270"/>
      <c r="H85" s="270"/>
      <c r="I85" s="270"/>
    </row>
    <row r="86" spans="1:9" ht="15.75" customHeight="1">
      <c r="A86" s="76" t="str">
        <f t="shared" si="0"/>
        <v>Onion</v>
      </c>
      <c r="B86" s="50"/>
      <c r="C86" s="270">
        <f t="shared" ref="C86:I86" si="23">$B86*C33</f>
        <v>0</v>
      </c>
      <c r="D86" s="270">
        <f t="shared" si="23"/>
        <v>0</v>
      </c>
      <c r="E86" s="270">
        <f t="shared" si="23"/>
        <v>0</v>
      </c>
      <c r="F86" s="270">
        <f t="shared" si="23"/>
        <v>0</v>
      </c>
      <c r="G86" s="270">
        <f t="shared" si="23"/>
        <v>0</v>
      </c>
      <c r="H86" s="270">
        <f t="shared" si="23"/>
        <v>0</v>
      </c>
      <c r="I86" s="270">
        <f t="shared" si="23"/>
        <v>0</v>
      </c>
    </row>
    <row r="87" spans="1:9" ht="15.75" customHeight="1">
      <c r="A87" s="76" t="str">
        <f t="shared" si="0"/>
        <v>Tomato</v>
      </c>
      <c r="B87" s="50"/>
      <c r="C87" s="270">
        <f t="shared" ref="C87:I87" si="24">$B87*C34</f>
        <v>0</v>
      </c>
      <c r="D87" s="270">
        <f t="shared" si="24"/>
        <v>0</v>
      </c>
      <c r="E87" s="270">
        <f t="shared" si="24"/>
        <v>0</v>
      </c>
      <c r="F87" s="270">
        <f t="shared" si="24"/>
        <v>0</v>
      </c>
      <c r="G87" s="270">
        <f t="shared" si="24"/>
        <v>0</v>
      </c>
      <c r="H87" s="270">
        <f t="shared" si="24"/>
        <v>0</v>
      </c>
      <c r="I87" s="270">
        <f t="shared" si="24"/>
        <v>0</v>
      </c>
    </row>
    <row r="88" spans="1:9" ht="15.75" customHeight="1">
      <c r="A88" s="76" t="str">
        <f t="shared" si="0"/>
        <v>Okra</v>
      </c>
      <c r="B88" s="50"/>
      <c r="C88" s="270">
        <f t="shared" ref="C88:I88" si="25">$B88*C35</f>
        <v>0</v>
      </c>
      <c r="D88" s="270">
        <f t="shared" si="25"/>
        <v>0</v>
      </c>
      <c r="E88" s="270">
        <f t="shared" si="25"/>
        <v>0</v>
      </c>
      <c r="F88" s="270">
        <f t="shared" si="25"/>
        <v>0</v>
      </c>
      <c r="G88" s="270">
        <f t="shared" si="25"/>
        <v>0</v>
      </c>
      <c r="H88" s="270">
        <f t="shared" si="25"/>
        <v>0</v>
      </c>
      <c r="I88" s="270">
        <f t="shared" si="25"/>
        <v>0</v>
      </c>
    </row>
    <row r="89" spans="1:9" ht="15.75" customHeight="1">
      <c r="A89" s="76" t="str">
        <f t="shared" si="0"/>
        <v>Chilli</v>
      </c>
      <c r="B89" s="50"/>
      <c r="C89" s="270">
        <f t="shared" ref="C89:I89" si="26">$B89*C36</f>
        <v>0</v>
      </c>
      <c r="D89" s="270">
        <f t="shared" si="26"/>
        <v>0</v>
      </c>
      <c r="E89" s="270">
        <f t="shared" si="26"/>
        <v>0</v>
      </c>
      <c r="F89" s="270">
        <f t="shared" si="26"/>
        <v>0</v>
      </c>
      <c r="G89" s="270">
        <f t="shared" si="26"/>
        <v>0</v>
      </c>
      <c r="H89" s="270">
        <f t="shared" si="26"/>
        <v>0</v>
      </c>
      <c r="I89" s="270">
        <f t="shared" si="26"/>
        <v>0</v>
      </c>
    </row>
    <row r="90" spans="1:9" ht="15.75" customHeight="1">
      <c r="A90" s="76" t="str">
        <f t="shared" si="0"/>
        <v>Potato</v>
      </c>
      <c r="B90" s="50"/>
      <c r="C90" s="270">
        <f t="shared" ref="C90:I90" si="27">$B90*C37</f>
        <v>0</v>
      </c>
      <c r="D90" s="270">
        <f t="shared" si="27"/>
        <v>0</v>
      </c>
      <c r="E90" s="270">
        <f t="shared" si="27"/>
        <v>0</v>
      </c>
      <c r="F90" s="270">
        <f t="shared" si="27"/>
        <v>0</v>
      </c>
      <c r="G90" s="270">
        <f t="shared" si="27"/>
        <v>0</v>
      </c>
      <c r="H90" s="270">
        <f t="shared" si="27"/>
        <v>0</v>
      </c>
      <c r="I90" s="270">
        <f t="shared" si="27"/>
        <v>0</v>
      </c>
    </row>
    <row r="91" spans="1:9" ht="15.75" customHeight="1">
      <c r="A91" s="76">
        <f t="shared" si="0"/>
        <v>0</v>
      </c>
      <c r="B91" s="50"/>
      <c r="C91" s="270">
        <f t="shared" ref="C91:I91" si="28">$B91*C38</f>
        <v>0</v>
      </c>
      <c r="D91" s="270">
        <f t="shared" si="28"/>
        <v>0</v>
      </c>
      <c r="E91" s="270">
        <f t="shared" si="28"/>
        <v>0</v>
      </c>
      <c r="F91" s="270">
        <f t="shared" si="28"/>
        <v>0</v>
      </c>
      <c r="G91" s="270">
        <f t="shared" si="28"/>
        <v>0</v>
      </c>
      <c r="H91" s="270">
        <f t="shared" si="28"/>
        <v>0</v>
      </c>
      <c r="I91" s="270">
        <f t="shared" si="28"/>
        <v>0</v>
      </c>
    </row>
    <row r="92" spans="1:9" ht="15.75" customHeight="1">
      <c r="A92" s="76">
        <f t="shared" si="0"/>
        <v>0</v>
      </c>
      <c r="B92" s="50"/>
      <c r="C92" s="270">
        <f t="shared" ref="C92:I92" si="29">$B92*C39</f>
        <v>0</v>
      </c>
      <c r="D92" s="270">
        <f t="shared" si="29"/>
        <v>0</v>
      </c>
      <c r="E92" s="270">
        <f t="shared" si="29"/>
        <v>0</v>
      </c>
      <c r="F92" s="270">
        <f t="shared" si="29"/>
        <v>0</v>
      </c>
      <c r="G92" s="270">
        <f t="shared" si="29"/>
        <v>0</v>
      </c>
      <c r="H92" s="270">
        <f t="shared" si="29"/>
        <v>0</v>
      </c>
      <c r="I92" s="270">
        <f t="shared" si="29"/>
        <v>0</v>
      </c>
    </row>
    <row r="93" spans="1:9" ht="15.75" customHeight="1">
      <c r="A93" s="76">
        <f t="shared" si="0"/>
        <v>0</v>
      </c>
      <c r="B93" s="50"/>
      <c r="C93" s="270">
        <f t="shared" ref="C93:I93" si="30">$B93*C40</f>
        <v>0</v>
      </c>
      <c r="D93" s="270">
        <f t="shared" si="30"/>
        <v>0</v>
      </c>
      <c r="E93" s="270">
        <f t="shared" si="30"/>
        <v>0</v>
      </c>
      <c r="F93" s="270">
        <f t="shared" si="30"/>
        <v>0</v>
      </c>
      <c r="G93" s="270">
        <f t="shared" si="30"/>
        <v>0</v>
      </c>
      <c r="H93" s="270">
        <f t="shared" si="30"/>
        <v>0</v>
      </c>
      <c r="I93" s="270">
        <f t="shared" si="30"/>
        <v>0</v>
      </c>
    </row>
    <row r="94" spans="1:9" ht="15.75" customHeight="1">
      <c r="A94" s="76">
        <f t="shared" si="0"/>
        <v>0</v>
      </c>
      <c r="B94" s="50"/>
      <c r="C94" s="270">
        <f t="shared" ref="C94:I94" si="31">$B94*C41</f>
        <v>0</v>
      </c>
      <c r="D94" s="270">
        <f t="shared" si="31"/>
        <v>0</v>
      </c>
      <c r="E94" s="270">
        <f t="shared" si="31"/>
        <v>0</v>
      </c>
      <c r="F94" s="270">
        <f t="shared" si="31"/>
        <v>0</v>
      </c>
      <c r="G94" s="270">
        <f t="shared" si="31"/>
        <v>0</v>
      </c>
      <c r="H94" s="270">
        <f t="shared" si="31"/>
        <v>0</v>
      </c>
      <c r="I94" s="270">
        <f t="shared" si="31"/>
        <v>0</v>
      </c>
    </row>
    <row r="95" spans="1:9" ht="15.75" customHeight="1">
      <c r="A95" s="76" t="str">
        <f t="shared" si="0"/>
        <v>Onion</v>
      </c>
      <c r="B95" s="50"/>
      <c r="C95" s="270">
        <f t="shared" ref="C95:I95" si="32">$B95*C42</f>
        <v>0</v>
      </c>
      <c r="D95" s="270">
        <f t="shared" si="32"/>
        <v>0</v>
      </c>
      <c r="E95" s="270">
        <f t="shared" si="32"/>
        <v>0</v>
      </c>
      <c r="F95" s="270">
        <f t="shared" si="32"/>
        <v>0</v>
      </c>
      <c r="G95" s="270">
        <f t="shared" si="32"/>
        <v>0</v>
      </c>
      <c r="H95" s="270">
        <f t="shared" si="32"/>
        <v>0</v>
      </c>
      <c r="I95" s="270">
        <f t="shared" si="32"/>
        <v>0</v>
      </c>
    </row>
    <row r="96" spans="1:9" ht="15.75" customHeight="1">
      <c r="A96" s="76" t="str">
        <f t="shared" si="0"/>
        <v>Tomato</v>
      </c>
      <c r="B96" s="50"/>
      <c r="C96" s="270">
        <f t="shared" ref="C96:I96" si="33">$B96*C43</f>
        <v>0</v>
      </c>
      <c r="D96" s="270">
        <f t="shared" si="33"/>
        <v>0</v>
      </c>
      <c r="E96" s="270">
        <f t="shared" si="33"/>
        <v>0</v>
      </c>
      <c r="F96" s="270">
        <f t="shared" si="33"/>
        <v>0</v>
      </c>
      <c r="G96" s="270">
        <f t="shared" si="33"/>
        <v>0</v>
      </c>
      <c r="H96" s="270">
        <f t="shared" si="33"/>
        <v>0</v>
      </c>
      <c r="I96" s="270">
        <f t="shared" si="33"/>
        <v>0</v>
      </c>
    </row>
    <row r="97" spans="1:9" ht="15.75" customHeight="1">
      <c r="A97" s="76" t="str">
        <f t="shared" si="0"/>
        <v>Okra</v>
      </c>
      <c r="B97" s="50"/>
      <c r="C97" s="270">
        <f t="shared" ref="C97:I97" si="34">$B97*C44</f>
        <v>0</v>
      </c>
      <c r="D97" s="270">
        <f t="shared" si="34"/>
        <v>0</v>
      </c>
      <c r="E97" s="270">
        <f t="shared" si="34"/>
        <v>0</v>
      </c>
      <c r="F97" s="270">
        <f t="shared" si="34"/>
        <v>0</v>
      </c>
      <c r="G97" s="270">
        <f t="shared" si="34"/>
        <v>0</v>
      </c>
      <c r="H97" s="270">
        <f t="shared" si="34"/>
        <v>0</v>
      </c>
      <c r="I97" s="270">
        <f t="shared" si="34"/>
        <v>0</v>
      </c>
    </row>
    <row r="98" spans="1:9" ht="15.75" customHeight="1">
      <c r="A98" s="76" t="str">
        <f t="shared" si="0"/>
        <v>Chilli</v>
      </c>
      <c r="B98" s="50"/>
      <c r="C98" s="270">
        <f t="shared" ref="C98:I98" si="35">$B98*C45</f>
        <v>0</v>
      </c>
      <c r="D98" s="270">
        <f t="shared" si="35"/>
        <v>0</v>
      </c>
      <c r="E98" s="270">
        <f t="shared" si="35"/>
        <v>0</v>
      </c>
      <c r="F98" s="270">
        <f t="shared" si="35"/>
        <v>0</v>
      </c>
      <c r="G98" s="270">
        <f t="shared" si="35"/>
        <v>0</v>
      </c>
      <c r="H98" s="270">
        <f t="shared" si="35"/>
        <v>0</v>
      </c>
      <c r="I98" s="270">
        <f t="shared" si="35"/>
        <v>0</v>
      </c>
    </row>
    <row r="99" spans="1:9" ht="15.75" customHeight="1">
      <c r="A99" s="76" t="str">
        <f t="shared" si="0"/>
        <v>Brinjal</v>
      </c>
      <c r="B99" s="50"/>
      <c r="C99" s="270">
        <f t="shared" ref="C99:I99" si="36">$B99*C46</f>
        <v>0</v>
      </c>
      <c r="D99" s="270">
        <f t="shared" si="36"/>
        <v>0</v>
      </c>
      <c r="E99" s="270">
        <f t="shared" si="36"/>
        <v>0</v>
      </c>
      <c r="F99" s="270">
        <f t="shared" si="36"/>
        <v>0</v>
      </c>
      <c r="G99" s="270">
        <f t="shared" si="36"/>
        <v>0</v>
      </c>
      <c r="H99" s="270">
        <f t="shared" si="36"/>
        <v>0</v>
      </c>
      <c r="I99" s="270">
        <f t="shared" si="36"/>
        <v>0</v>
      </c>
    </row>
    <row r="100" spans="1:9" ht="15.75" customHeight="1">
      <c r="A100" s="76">
        <f t="shared" si="0"/>
        <v>0</v>
      </c>
      <c r="B100" s="50"/>
      <c r="C100" s="270">
        <f t="shared" ref="C100:I100" si="37">$B100*C47</f>
        <v>0</v>
      </c>
      <c r="D100" s="270">
        <f t="shared" si="37"/>
        <v>0</v>
      </c>
      <c r="E100" s="270">
        <f t="shared" si="37"/>
        <v>0</v>
      </c>
      <c r="F100" s="270">
        <f t="shared" si="37"/>
        <v>0</v>
      </c>
      <c r="G100" s="270">
        <f t="shared" si="37"/>
        <v>0</v>
      </c>
      <c r="H100" s="270">
        <f t="shared" si="37"/>
        <v>0</v>
      </c>
      <c r="I100" s="270">
        <f t="shared" si="37"/>
        <v>0</v>
      </c>
    </row>
    <row r="101" spans="1:9" ht="15.75" customHeight="1">
      <c r="A101" s="76">
        <f t="shared" si="0"/>
        <v>0</v>
      </c>
      <c r="B101" s="50"/>
      <c r="C101" s="270">
        <f t="shared" ref="C101:I101" si="38">$B101*C48</f>
        <v>0</v>
      </c>
      <c r="D101" s="270">
        <f t="shared" si="38"/>
        <v>0</v>
      </c>
      <c r="E101" s="270">
        <f t="shared" si="38"/>
        <v>0</v>
      </c>
      <c r="F101" s="270">
        <f t="shared" si="38"/>
        <v>0</v>
      </c>
      <c r="G101" s="270">
        <f t="shared" si="38"/>
        <v>0</v>
      </c>
      <c r="H101" s="270">
        <f t="shared" si="38"/>
        <v>0</v>
      </c>
      <c r="I101" s="270">
        <f t="shared" si="38"/>
        <v>0</v>
      </c>
    </row>
    <row r="102" spans="1:9" ht="15.75" customHeight="1">
      <c r="A102" s="76">
        <f t="shared" si="0"/>
        <v>0</v>
      </c>
      <c r="B102" s="50"/>
      <c r="C102" s="270">
        <f t="shared" ref="C102:I102" si="39">$B102*C49</f>
        <v>0</v>
      </c>
      <c r="D102" s="270">
        <f t="shared" si="39"/>
        <v>0</v>
      </c>
      <c r="E102" s="270">
        <f t="shared" si="39"/>
        <v>0</v>
      </c>
      <c r="F102" s="270">
        <f t="shared" si="39"/>
        <v>0</v>
      </c>
      <c r="G102" s="270">
        <f t="shared" si="39"/>
        <v>0</v>
      </c>
      <c r="H102" s="270">
        <f t="shared" si="39"/>
        <v>0</v>
      </c>
      <c r="I102" s="270">
        <f t="shared" si="39"/>
        <v>0</v>
      </c>
    </row>
    <row r="103" spans="1:9" ht="15.75" customHeight="1">
      <c r="A103" s="76">
        <f t="shared" si="0"/>
        <v>0</v>
      </c>
      <c r="B103" s="50"/>
      <c r="C103" s="270">
        <f t="shared" ref="C103:I103" si="40">$B103*C50</f>
        <v>0</v>
      </c>
      <c r="D103" s="270">
        <f t="shared" si="40"/>
        <v>0</v>
      </c>
      <c r="E103" s="270">
        <f t="shared" si="40"/>
        <v>0</v>
      </c>
      <c r="F103" s="270">
        <f t="shared" si="40"/>
        <v>0</v>
      </c>
      <c r="G103" s="270">
        <f t="shared" si="40"/>
        <v>0</v>
      </c>
      <c r="H103" s="270">
        <f t="shared" si="40"/>
        <v>0</v>
      </c>
      <c r="I103" s="270">
        <f t="shared" si="40"/>
        <v>0</v>
      </c>
    </row>
    <row r="104" spans="1:9" ht="15.75" customHeight="1">
      <c r="A104" s="76">
        <f t="shared" si="0"/>
        <v>0</v>
      </c>
      <c r="B104" s="50"/>
      <c r="C104" s="270">
        <f t="shared" ref="C104:I104" si="41">$B104*C51</f>
        <v>0</v>
      </c>
      <c r="D104" s="270">
        <f t="shared" si="41"/>
        <v>0</v>
      </c>
      <c r="E104" s="270">
        <f t="shared" si="41"/>
        <v>0</v>
      </c>
      <c r="F104" s="270">
        <f t="shared" si="41"/>
        <v>0</v>
      </c>
      <c r="G104" s="270">
        <f t="shared" si="41"/>
        <v>0</v>
      </c>
      <c r="H104" s="270">
        <f t="shared" si="41"/>
        <v>0</v>
      </c>
      <c r="I104" s="270">
        <f t="shared" si="41"/>
        <v>0</v>
      </c>
    </row>
    <row r="105" spans="1:9" ht="15.75" customHeight="1">
      <c r="A105" s="76">
        <f t="shared" si="0"/>
        <v>0</v>
      </c>
      <c r="B105" s="50"/>
      <c r="C105" s="270">
        <f t="shared" ref="C105:I105" si="42">$B105*C52</f>
        <v>0</v>
      </c>
      <c r="D105" s="270">
        <f t="shared" si="42"/>
        <v>0</v>
      </c>
      <c r="E105" s="270">
        <f t="shared" si="42"/>
        <v>0</v>
      </c>
      <c r="F105" s="270">
        <f t="shared" si="42"/>
        <v>0</v>
      </c>
      <c r="G105" s="270">
        <f t="shared" si="42"/>
        <v>0</v>
      </c>
      <c r="H105" s="270">
        <f t="shared" si="42"/>
        <v>0</v>
      </c>
      <c r="I105" s="270">
        <f t="shared" si="42"/>
        <v>0</v>
      </c>
    </row>
    <row r="106" spans="1:9" ht="15.75" customHeight="1">
      <c r="A106" s="76">
        <f t="shared" si="0"/>
        <v>0</v>
      </c>
      <c r="B106" s="50"/>
      <c r="C106" s="270">
        <f t="shared" ref="C106:I106" si="43">$B106*C53</f>
        <v>0</v>
      </c>
      <c r="D106" s="270">
        <f t="shared" si="43"/>
        <v>0</v>
      </c>
      <c r="E106" s="270">
        <f t="shared" si="43"/>
        <v>0</v>
      </c>
      <c r="F106" s="270">
        <f t="shared" si="43"/>
        <v>0</v>
      </c>
      <c r="G106" s="270">
        <f t="shared" si="43"/>
        <v>0</v>
      </c>
      <c r="H106" s="270">
        <f t="shared" si="43"/>
        <v>0</v>
      </c>
      <c r="I106" s="270">
        <f t="shared" si="43"/>
        <v>0</v>
      </c>
    </row>
    <row r="107" spans="1:9" ht="15.75" customHeight="1">
      <c r="A107" s="76" t="str">
        <f t="shared" si="0"/>
        <v>Pomegranate</v>
      </c>
      <c r="B107" s="50"/>
      <c r="C107" s="270">
        <f t="shared" ref="C107:I107" si="44">$B107*C54</f>
        <v>0</v>
      </c>
      <c r="D107" s="270">
        <f t="shared" si="44"/>
        <v>0</v>
      </c>
      <c r="E107" s="270">
        <f t="shared" si="44"/>
        <v>0</v>
      </c>
      <c r="F107" s="270">
        <f t="shared" si="44"/>
        <v>0</v>
      </c>
      <c r="G107" s="270">
        <f t="shared" si="44"/>
        <v>0</v>
      </c>
      <c r="H107" s="270">
        <f t="shared" si="44"/>
        <v>0</v>
      </c>
      <c r="I107" s="270">
        <f t="shared" si="44"/>
        <v>0</v>
      </c>
    </row>
    <row r="108" spans="1:9" ht="15.75" customHeight="1">
      <c r="A108" s="76" t="str">
        <f t="shared" si="0"/>
        <v>Custard Apple</v>
      </c>
      <c r="B108" s="50"/>
      <c r="C108" s="270">
        <f t="shared" ref="C108:I108" si="45">$B108*C55</f>
        <v>0</v>
      </c>
      <c r="D108" s="270">
        <f t="shared" si="45"/>
        <v>0</v>
      </c>
      <c r="E108" s="270">
        <f t="shared" si="45"/>
        <v>0</v>
      </c>
      <c r="F108" s="270">
        <f t="shared" si="45"/>
        <v>0</v>
      </c>
      <c r="G108" s="270">
        <f t="shared" si="45"/>
        <v>0</v>
      </c>
      <c r="H108" s="270">
        <f t="shared" si="45"/>
        <v>0</v>
      </c>
      <c r="I108" s="270">
        <f t="shared" si="45"/>
        <v>0</v>
      </c>
    </row>
    <row r="109" spans="1:9" ht="15.75" customHeight="1">
      <c r="A109" s="76" t="str">
        <f t="shared" si="0"/>
        <v>Guava</v>
      </c>
      <c r="B109" s="50"/>
      <c r="C109" s="270">
        <f t="shared" ref="C109:I109" si="46">$B109*C56</f>
        <v>0</v>
      </c>
      <c r="D109" s="270">
        <f t="shared" si="46"/>
        <v>0</v>
      </c>
      <c r="E109" s="270">
        <f t="shared" si="46"/>
        <v>0</v>
      </c>
      <c r="F109" s="270">
        <f t="shared" si="46"/>
        <v>0</v>
      </c>
      <c r="G109" s="270">
        <f t="shared" si="46"/>
        <v>0</v>
      </c>
      <c r="H109" s="270">
        <f t="shared" si="46"/>
        <v>0</v>
      </c>
      <c r="I109" s="270">
        <f t="shared" si="46"/>
        <v>0</v>
      </c>
    </row>
    <row r="110" spans="1:9" ht="15.75" customHeight="1">
      <c r="A110" s="76" t="str">
        <f t="shared" si="0"/>
        <v>Citrus</v>
      </c>
      <c r="B110" s="50"/>
      <c r="C110" s="270">
        <f t="shared" ref="C110:I110" si="47">$B110*C57</f>
        <v>0</v>
      </c>
      <c r="D110" s="270">
        <f t="shared" si="47"/>
        <v>0</v>
      </c>
      <c r="E110" s="270">
        <f t="shared" si="47"/>
        <v>0</v>
      </c>
      <c r="F110" s="270">
        <f t="shared" si="47"/>
        <v>0</v>
      </c>
      <c r="G110" s="270">
        <f t="shared" si="47"/>
        <v>0</v>
      </c>
      <c r="H110" s="270">
        <f t="shared" si="47"/>
        <v>0</v>
      </c>
      <c r="I110" s="270">
        <f t="shared" si="47"/>
        <v>0</v>
      </c>
    </row>
    <row r="111" spans="1:9" ht="15.75" customHeight="1">
      <c r="A111" s="76"/>
      <c r="B111" s="50"/>
      <c r="C111" s="270"/>
      <c r="D111" s="270"/>
      <c r="E111" s="270"/>
      <c r="F111" s="270"/>
      <c r="G111" s="270"/>
      <c r="H111" s="270"/>
      <c r="I111" s="270"/>
    </row>
    <row r="112" spans="1:9" ht="15.75" customHeight="1">
      <c r="A112" s="76"/>
      <c r="B112" s="50"/>
      <c r="C112" s="270"/>
      <c r="D112" s="270"/>
      <c r="E112" s="270"/>
      <c r="F112" s="270"/>
      <c r="G112" s="270"/>
      <c r="H112" s="270"/>
      <c r="I112" s="270"/>
    </row>
    <row r="113" spans="1:23" ht="15.75" customHeight="1">
      <c r="A113" s="79" t="s">
        <v>668</v>
      </c>
      <c r="B113" s="76"/>
      <c r="C113" s="76"/>
      <c r="D113" s="76"/>
      <c r="E113" s="76"/>
      <c r="F113" s="76"/>
      <c r="G113" s="76"/>
      <c r="H113" s="76"/>
      <c r="I113" s="76"/>
    </row>
    <row r="114" spans="1:23" ht="15.75" customHeight="1">
      <c r="A114" s="76" t="s">
        <v>669</v>
      </c>
      <c r="B114" s="50">
        <v>100</v>
      </c>
      <c r="C114" s="270">
        <f t="shared" ref="C114:I114" si="48">SUM(C62:C110)*$B$114</f>
        <v>292500</v>
      </c>
      <c r="D114" s="270">
        <f t="shared" si="48"/>
        <v>315000.00000000006</v>
      </c>
      <c r="E114" s="270">
        <f t="shared" si="48"/>
        <v>337500.00000000006</v>
      </c>
      <c r="F114" s="270">
        <f t="shared" si="48"/>
        <v>360000.00000000012</v>
      </c>
      <c r="G114" s="270">
        <f t="shared" si="48"/>
        <v>382500.00000000012</v>
      </c>
      <c r="H114" s="270">
        <f t="shared" si="48"/>
        <v>405000.00000000012</v>
      </c>
      <c r="I114" s="270">
        <f t="shared" si="48"/>
        <v>427500.00000000017</v>
      </c>
    </row>
    <row r="115" spans="1:23" ht="15.75" customHeight="1">
      <c r="A115" s="76" t="s">
        <v>670</v>
      </c>
      <c r="B115" s="50">
        <v>30</v>
      </c>
      <c r="C115" s="270">
        <f t="shared" ref="C115:I115" si="49">SUM(C62:C110)*$B$115</f>
        <v>87750</v>
      </c>
      <c r="D115" s="270">
        <f t="shared" si="49"/>
        <v>94500.000000000015</v>
      </c>
      <c r="E115" s="270">
        <f t="shared" si="49"/>
        <v>101250.00000000001</v>
      </c>
      <c r="F115" s="270">
        <f t="shared" si="49"/>
        <v>108000.00000000003</v>
      </c>
      <c r="G115" s="270">
        <f t="shared" si="49"/>
        <v>114750.00000000003</v>
      </c>
      <c r="H115" s="270">
        <f t="shared" si="49"/>
        <v>121500.00000000003</v>
      </c>
      <c r="I115" s="270">
        <f t="shared" si="49"/>
        <v>128250.00000000006</v>
      </c>
    </row>
    <row r="116" spans="1:23" ht="15.75" customHeight="1">
      <c r="A116" s="76" t="s">
        <v>671</v>
      </c>
      <c r="B116" s="50">
        <v>30</v>
      </c>
      <c r="C116" s="270">
        <f t="shared" ref="C116:I116" si="50">SUM(C62:C110)*$B$116</f>
        <v>87750</v>
      </c>
      <c r="D116" s="270">
        <f t="shared" si="50"/>
        <v>94500.000000000015</v>
      </c>
      <c r="E116" s="270">
        <f t="shared" si="50"/>
        <v>101250.00000000001</v>
      </c>
      <c r="F116" s="270">
        <f t="shared" si="50"/>
        <v>108000.00000000003</v>
      </c>
      <c r="G116" s="270">
        <f t="shared" si="50"/>
        <v>114750.00000000003</v>
      </c>
      <c r="H116" s="270">
        <f t="shared" si="50"/>
        <v>121500.00000000003</v>
      </c>
      <c r="I116" s="270">
        <f t="shared" si="50"/>
        <v>128250.00000000006</v>
      </c>
    </row>
    <row r="117" spans="1:23" ht="15.75" customHeight="1">
      <c r="A117" s="79" t="s">
        <v>672</v>
      </c>
      <c r="B117" s="50"/>
      <c r="C117" s="76"/>
      <c r="D117" s="76"/>
      <c r="E117" s="76"/>
      <c r="F117" s="76"/>
      <c r="G117" s="76"/>
      <c r="H117" s="76"/>
      <c r="I117" s="76"/>
    </row>
    <row r="118" spans="1:23" ht="15.75" customHeight="1">
      <c r="A118" s="76" t="s">
        <v>673</v>
      </c>
      <c r="B118" s="50">
        <v>0.2</v>
      </c>
      <c r="C118" s="270">
        <f t="shared" ref="C118:I118" si="51">SUM(C62:C110)*$B$118</f>
        <v>585</v>
      </c>
      <c r="D118" s="270">
        <f t="shared" si="51"/>
        <v>630.00000000000011</v>
      </c>
      <c r="E118" s="270">
        <f t="shared" si="51"/>
        <v>675.00000000000011</v>
      </c>
      <c r="F118" s="270">
        <f t="shared" si="51"/>
        <v>720.00000000000023</v>
      </c>
      <c r="G118" s="270">
        <f t="shared" si="51"/>
        <v>765.00000000000023</v>
      </c>
      <c r="H118" s="270">
        <f t="shared" si="51"/>
        <v>810.00000000000023</v>
      </c>
      <c r="I118" s="270">
        <f t="shared" si="51"/>
        <v>855.00000000000045</v>
      </c>
    </row>
    <row r="119" spans="1:23" ht="15.75" customHeight="1">
      <c r="A119" s="76" t="s">
        <v>674</v>
      </c>
      <c r="B119" s="50">
        <v>0.5</v>
      </c>
      <c r="C119" s="270">
        <f t="shared" ref="C119:I119" si="52">SUM(C62:C110)*$B$119</f>
        <v>1462.5</v>
      </c>
      <c r="D119" s="270">
        <f t="shared" si="52"/>
        <v>1575.0000000000002</v>
      </c>
      <c r="E119" s="270">
        <f t="shared" si="52"/>
        <v>1687.5000000000002</v>
      </c>
      <c r="F119" s="270">
        <f t="shared" si="52"/>
        <v>1800.0000000000005</v>
      </c>
      <c r="G119" s="270">
        <f t="shared" si="52"/>
        <v>1912.5000000000005</v>
      </c>
      <c r="H119" s="270">
        <f t="shared" si="52"/>
        <v>2025.0000000000005</v>
      </c>
      <c r="I119" s="270">
        <f t="shared" si="52"/>
        <v>2137.5000000000009</v>
      </c>
    </row>
    <row r="120" spans="1:23" ht="15.75" customHeight="1"/>
    <row r="121" spans="1:23" ht="15.75" customHeight="1"/>
    <row r="122" spans="1:23" ht="15.75" customHeight="1">
      <c r="A122" s="351" t="s">
        <v>675</v>
      </c>
      <c r="B122" s="335"/>
      <c r="C122" s="335"/>
      <c r="D122" s="335"/>
      <c r="E122" s="335"/>
      <c r="F122" s="335"/>
      <c r="G122" s="335"/>
      <c r="H122" s="335"/>
      <c r="I122" s="335"/>
      <c r="J122" s="335"/>
    </row>
    <row r="123" spans="1:23" ht="15.75" customHeight="1">
      <c r="A123" s="26"/>
      <c r="B123" s="26"/>
      <c r="C123" s="26"/>
      <c r="D123" s="26"/>
      <c r="E123" s="26"/>
      <c r="F123" s="26"/>
      <c r="G123" s="26"/>
      <c r="H123" s="26"/>
    </row>
    <row r="124" spans="1:23" ht="15.75" customHeight="1">
      <c r="A124" s="95"/>
      <c r="B124" s="95"/>
      <c r="C124" s="95"/>
      <c r="D124" s="271">
        <v>1</v>
      </c>
      <c r="E124" s="272">
        <f t="shared" ref="E124:J124" si="53">(D124*5%)+D124</f>
        <v>1.05</v>
      </c>
      <c r="F124" s="272">
        <f t="shared" si="53"/>
        <v>1.1025</v>
      </c>
      <c r="G124" s="272">
        <f t="shared" si="53"/>
        <v>1.1576250000000001</v>
      </c>
      <c r="H124" s="272">
        <f t="shared" si="53"/>
        <v>1.2155062500000002</v>
      </c>
      <c r="I124" s="272">
        <f t="shared" si="53"/>
        <v>1.2762815625000004</v>
      </c>
      <c r="J124" s="272">
        <f t="shared" si="53"/>
        <v>1.3400956406250004</v>
      </c>
      <c r="K124" s="71"/>
      <c r="U124" s="71"/>
      <c r="V124" s="71"/>
      <c r="W124" s="71"/>
    </row>
    <row r="125" spans="1:23" ht="15.75" customHeight="1">
      <c r="A125" s="71"/>
      <c r="B125" s="71"/>
      <c r="C125" s="71"/>
      <c r="D125" s="71"/>
      <c r="E125" s="71"/>
      <c r="F125" s="71"/>
      <c r="G125" s="71"/>
      <c r="H125" s="71"/>
      <c r="I125" s="71"/>
      <c r="J125" s="71"/>
      <c r="K125" s="71"/>
      <c r="U125" s="71"/>
      <c r="V125" s="71"/>
      <c r="W125" s="71"/>
    </row>
    <row r="126" spans="1:23" ht="15.75" customHeight="1">
      <c r="A126" s="74" t="s">
        <v>149</v>
      </c>
      <c r="B126" s="74" t="s">
        <v>122</v>
      </c>
      <c r="C126" s="74" t="s">
        <v>132</v>
      </c>
      <c r="D126" s="75" t="s">
        <v>152</v>
      </c>
      <c r="E126" s="75" t="s">
        <v>153</v>
      </c>
      <c r="F126" s="75" t="s">
        <v>154</v>
      </c>
      <c r="G126" s="75" t="s">
        <v>155</v>
      </c>
      <c r="H126" s="75" t="s">
        <v>156</v>
      </c>
      <c r="I126" s="75" t="s">
        <v>157</v>
      </c>
      <c r="J126" s="75" t="s">
        <v>158</v>
      </c>
      <c r="K126" s="71"/>
      <c r="U126" s="71"/>
      <c r="V126" s="71"/>
      <c r="W126" s="71"/>
    </row>
    <row r="127" spans="1:23" ht="15.75" customHeight="1">
      <c r="A127" s="79" t="s">
        <v>348</v>
      </c>
      <c r="B127" s="76"/>
      <c r="C127" s="76"/>
      <c r="D127" s="76"/>
      <c r="E127" s="76"/>
      <c r="F127" s="76"/>
      <c r="G127" s="76"/>
      <c r="H127" s="76"/>
      <c r="I127" s="76"/>
      <c r="J127" s="76"/>
      <c r="K127" s="71"/>
      <c r="U127" s="71"/>
      <c r="V127" s="71"/>
      <c r="W127" s="71"/>
    </row>
    <row r="128" spans="1:23" ht="15.75" customHeight="1">
      <c r="A128" s="76" t="s">
        <v>676</v>
      </c>
      <c r="B128" s="76"/>
      <c r="C128" s="76"/>
      <c r="D128" s="76"/>
      <c r="E128" s="76"/>
      <c r="F128" s="76"/>
      <c r="G128" s="76"/>
      <c r="H128" s="76"/>
      <c r="I128" s="76"/>
      <c r="J128" s="76"/>
      <c r="K128" s="71"/>
      <c r="U128" s="71"/>
      <c r="V128" s="71"/>
      <c r="W128" s="71"/>
    </row>
    <row r="129" spans="1:23" ht="15.75" customHeight="1">
      <c r="A129" s="79" t="str">
        <f t="shared" ref="A129:A179" si="54">A8</f>
        <v>Kharif Crops</v>
      </c>
      <c r="B129" s="76"/>
      <c r="C129" s="76"/>
      <c r="D129" s="76"/>
      <c r="E129" s="76"/>
      <c r="F129" s="76"/>
      <c r="G129" s="76"/>
      <c r="H129" s="76"/>
      <c r="I129" s="76"/>
      <c r="J129" s="76"/>
      <c r="K129" s="71"/>
      <c r="U129" s="71"/>
      <c r="V129" s="71"/>
      <c r="W129" s="71"/>
    </row>
    <row r="130" spans="1:23" ht="15.75" customHeight="1">
      <c r="A130" s="76" t="str">
        <f t="shared" si="54"/>
        <v>Soybean</v>
      </c>
      <c r="B130" s="76"/>
      <c r="C130" s="50">
        <v>90</v>
      </c>
      <c r="D130" s="78">
        <f>(C62*(1-'5.Closing Stock &amp; W Capital'!$D$15))*$C$130*D$124</f>
        <v>0</v>
      </c>
      <c r="E130" s="78">
        <f>(D62*(1-'5.Closing Stock &amp; W Capital'!$D$15))*$C$130*E$124</f>
        <v>0</v>
      </c>
      <c r="F130" s="78">
        <f>(E62*(1-'5.Closing Stock &amp; W Capital'!$D$15))*$C$130*F$124</f>
        <v>0</v>
      </c>
      <c r="G130" s="78">
        <f>(F62*(1-'5.Closing Stock &amp; W Capital'!$D$15))*$C$130*G$124</f>
        <v>0</v>
      </c>
      <c r="H130" s="78">
        <f>(G62*(1-'5.Closing Stock &amp; W Capital'!$D$15))*$C$130*H$124</f>
        <v>0</v>
      </c>
      <c r="I130" s="78">
        <f>(H62*(1-'5.Closing Stock &amp; W Capital'!$D$15))*$C$130*I$124</f>
        <v>0</v>
      </c>
      <c r="J130" s="78">
        <f>(I62*(1-'5.Closing Stock &amp; W Capital'!$D$15))*$C$130*J$124</f>
        <v>0</v>
      </c>
      <c r="K130" s="71"/>
      <c r="U130" s="71"/>
      <c r="V130" s="71"/>
      <c r="W130" s="71"/>
    </row>
    <row r="131" spans="1:23" ht="15.75" customHeight="1">
      <c r="A131" s="76" t="str">
        <f t="shared" si="54"/>
        <v>Red Gram/Tur</v>
      </c>
      <c r="B131" s="76"/>
      <c r="C131" s="77">
        <v>80</v>
      </c>
      <c r="D131" s="78">
        <f>(C63*(1-'5.Closing Stock &amp; W Capital'!$D$15))*$C$131*D$124</f>
        <v>0</v>
      </c>
      <c r="E131" s="78">
        <f>((D63*(1-'5.Closing Stock &amp; W Capital'!$D$15))+(C63*'5.Closing Stock &amp; W Capital'!$D$15))*$C$131*E$124</f>
        <v>0</v>
      </c>
      <c r="F131" s="78">
        <f>((E63*(1-'5.Closing Stock &amp; W Capital'!$D$15))+(D63*'5.Closing Stock &amp; W Capital'!$D$15))*$C$131*F$124</f>
        <v>0</v>
      </c>
      <c r="G131" s="78">
        <f>((F63*(1-'5.Closing Stock &amp; W Capital'!$D$15))+(E63*'5.Closing Stock &amp; W Capital'!$D$15))*$C$131*G124</f>
        <v>0</v>
      </c>
      <c r="H131" s="78">
        <f>((G63*(1-'5.Closing Stock &amp; W Capital'!$D$15))+(F63*'5.Closing Stock &amp; W Capital'!$D$15))*$C$131*H124</f>
        <v>0</v>
      </c>
      <c r="I131" s="78">
        <f>((H63*(1-'5.Closing Stock &amp; W Capital'!$D$15))+(G63*'5.Closing Stock &amp; W Capital'!$D$15))*$C$131*I124</f>
        <v>0</v>
      </c>
      <c r="J131" s="78">
        <f>((I63*(1-'5.Closing Stock &amp; W Capital'!$D$15))+(H63*'5.Closing Stock &amp; W Capital'!$D$15))*$C$131*J124</f>
        <v>0</v>
      </c>
      <c r="K131" s="71"/>
      <c r="U131" s="72"/>
      <c r="V131" s="71"/>
      <c r="W131" s="71"/>
    </row>
    <row r="132" spans="1:23" ht="15.75" customHeight="1">
      <c r="A132" s="76" t="str">
        <f t="shared" si="54"/>
        <v>Turmeric</v>
      </c>
      <c r="B132" s="76"/>
      <c r="C132" s="77">
        <v>65</v>
      </c>
      <c r="D132" s="78">
        <f>(C64*(1-'5.Closing Stock &amp; W Capital'!$D$15))*$C$132*D$124</f>
        <v>180618.75</v>
      </c>
      <c r="E132" s="78">
        <f>((D64*(1-'5.Closing Stock &amp; W Capital'!$D$15))+(C64*'5.Closing Stock &amp; W Capital'!$D$15))*$C$132*E$124</f>
        <v>214219.68750000003</v>
      </c>
      <c r="F132" s="78">
        <f>((E64*(1-'5.Closing Stock &amp; W Capital'!$D$15))+(D64*'5.Closing Stock &amp; W Capital'!$D$15))*$C$132*F$124</f>
        <v>241054.73437500003</v>
      </c>
      <c r="G132" s="78">
        <f>((F64*(1-'5.Closing Stock &amp; W Capital'!$D$15))+(E64*'5.Closing Stock &amp; W Capital'!$D$15))*$C$132*G124</f>
        <v>270037.73671875009</v>
      </c>
      <c r="H132" s="78">
        <f>((G64*(1-'5.Closing Stock &amp; W Capital'!$D$15))+(F64*'5.Closing Stock &amp; W Capital'!$D$15))*$C$132*H124</f>
        <v>301316.40246093762</v>
      </c>
      <c r="I132" s="78">
        <f>((H64*(1-'5.Closing Stock &amp; W Capital'!$D$15))+(G64*'5.Closing Stock &amp; W Capital'!$D$15))*$C$132*I124</f>
        <v>335047.84043554706</v>
      </c>
      <c r="J132" s="78">
        <f>((I64*(1-'5.Closing Stock &amp; W Capital'!$D$15))+(H64*'5.Closing Stock &amp; W Capital'!$D$15))*$C$132*J124</f>
        <v>371399.13120146509</v>
      </c>
      <c r="K132" s="71"/>
      <c r="U132" s="71"/>
      <c r="V132" s="71"/>
      <c r="W132" s="71"/>
    </row>
    <row r="133" spans="1:23" ht="15.75" customHeight="1">
      <c r="A133" s="76" t="str">
        <f t="shared" si="54"/>
        <v>Green Gram/ Moong</v>
      </c>
      <c r="B133" s="76"/>
      <c r="C133" s="77">
        <v>85</v>
      </c>
      <c r="D133" s="78">
        <f>(C65*(1-'5.Closing Stock &amp; W Capital'!$D$15))*$C$133*D$124</f>
        <v>0</v>
      </c>
      <c r="E133" s="78">
        <f>((D65*(1-'5.Closing Stock &amp; W Capital'!$D$15))+(C65*'5.Closing Stock &amp; W Capital'!$D$15))*$C$133*E$124</f>
        <v>0</v>
      </c>
      <c r="F133" s="78">
        <f>((E65*(1-'5.Closing Stock &amp; W Capital'!$D$15))+(D65*'5.Closing Stock &amp; W Capital'!$D$15))*$C$133*F$124</f>
        <v>0</v>
      </c>
      <c r="G133" s="78">
        <f>((F65*(1-'5.Closing Stock &amp; W Capital'!$D$15))+(E65*'5.Closing Stock &amp; W Capital'!$D$15))*$C$133*G$124</f>
        <v>0</v>
      </c>
      <c r="H133" s="78">
        <f>((G65*(1-'5.Closing Stock &amp; W Capital'!$D$15))+(F65*'5.Closing Stock &amp; W Capital'!$D$15))*$C$133*H$124</f>
        <v>0</v>
      </c>
      <c r="I133" s="78">
        <f>((H65*(1-'5.Closing Stock &amp; W Capital'!$D$15))+(G65*'5.Closing Stock &amp; W Capital'!$D$15))*$C$133*I$124</f>
        <v>0</v>
      </c>
      <c r="J133" s="78">
        <f>((I65*(1-'5.Closing Stock &amp; W Capital'!$D$15))+(H65*'5.Closing Stock &amp; W Capital'!$D$15))*$C$133*J$124</f>
        <v>0</v>
      </c>
      <c r="K133" s="71"/>
      <c r="U133" s="71"/>
      <c r="V133" s="71"/>
      <c r="W133" s="71"/>
    </row>
    <row r="134" spans="1:23" ht="15.75" customHeight="1">
      <c r="A134" s="76" t="str">
        <f t="shared" si="54"/>
        <v>Maize</v>
      </c>
      <c r="B134" s="76"/>
      <c r="C134" s="77">
        <v>37</v>
      </c>
      <c r="D134" s="78">
        <f>(C66*(1-'5.Closing Stock &amp; W Capital'!$D$15))*$C$134*D$124</f>
        <v>0</v>
      </c>
      <c r="E134" s="78">
        <f>((D66*(1-'5.Closing Stock &amp; W Capital'!$D$15))+(C66*'5.Closing Stock &amp; W Capital'!$D$15))*$C$135*E$124</f>
        <v>0</v>
      </c>
      <c r="F134" s="78">
        <f>((E66*(1-'5.Closing Stock &amp; W Capital'!$D$15))+(D66*'5.Closing Stock &amp; W Capital'!$D$15))*$C$135*F$124</f>
        <v>0</v>
      </c>
      <c r="G134" s="78">
        <f>((F66*(1-'5.Closing Stock &amp; W Capital'!$D$15))+(E66*'5.Closing Stock &amp; W Capital'!$D$15))*$C$135*G$124</f>
        <v>0</v>
      </c>
      <c r="H134" s="78">
        <f>((G66*(1-'5.Closing Stock &amp; W Capital'!$D$15))+(F66*'5.Closing Stock &amp; W Capital'!$D$15))*$C$135*H$124</f>
        <v>0</v>
      </c>
      <c r="I134" s="78">
        <f>((H66*(1-'5.Closing Stock &amp; W Capital'!$D$15))+(G66*'5.Closing Stock &amp; W Capital'!$D$15))*$C$135*I$124</f>
        <v>0</v>
      </c>
      <c r="J134" s="78">
        <f>((I66*(1-'5.Closing Stock &amp; W Capital'!$D$15))+(H66*'5.Closing Stock &amp; W Capital'!$D$15))*$C$135*J$124</f>
        <v>0</v>
      </c>
      <c r="K134" s="71"/>
      <c r="U134" s="71"/>
      <c r="V134" s="71"/>
      <c r="W134" s="71"/>
    </row>
    <row r="135" spans="1:23" ht="15.75" customHeight="1">
      <c r="A135" s="76" t="str">
        <f t="shared" si="54"/>
        <v>Black Gram/Udid</v>
      </c>
      <c r="B135" s="76"/>
      <c r="C135" s="77">
        <v>75</v>
      </c>
      <c r="D135" s="78">
        <f>(C67*(1-'5.Closing Stock &amp; W Capital'!$D$15))*$C$135*D$124</f>
        <v>0</v>
      </c>
      <c r="E135" s="78">
        <f>((D67*(1-'5.Closing Stock &amp; W Capital'!$D$15))+(C67*'5.Closing Stock &amp; W Capital'!$D$15))*$C$135*E$124</f>
        <v>0</v>
      </c>
      <c r="F135" s="78">
        <f>((E67*(1-'5.Closing Stock &amp; W Capital'!$D$15))+(D67*'5.Closing Stock &amp; W Capital'!$D$15))*$C$135*F$124</f>
        <v>0</v>
      </c>
      <c r="G135" s="78">
        <f>((F67*(1-'5.Closing Stock &amp; W Capital'!$D$15))+(E67*'5.Closing Stock &amp; W Capital'!$D$15))*$C$135*G$124</f>
        <v>0</v>
      </c>
      <c r="H135" s="78">
        <f>((G67*(1-'5.Closing Stock &amp; W Capital'!$D$15))+(F67*'5.Closing Stock &amp; W Capital'!$D$15))*$C$135*H$124</f>
        <v>0</v>
      </c>
      <c r="I135" s="78">
        <f>((H67*(1-'5.Closing Stock &amp; W Capital'!$D$15))+(G67*'5.Closing Stock &amp; W Capital'!$D$15))*$C$135*I$124</f>
        <v>0</v>
      </c>
      <c r="J135" s="78">
        <f>((I67*(1-'5.Closing Stock &amp; W Capital'!$D$15))+(H67*'5.Closing Stock &amp; W Capital'!$D$15))*$C$135*J$124</f>
        <v>0</v>
      </c>
      <c r="K135" s="71"/>
      <c r="U135" s="71"/>
      <c r="V135" s="71"/>
      <c r="W135" s="71"/>
    </row>
    <row r="136" spans="1:23" ht="15.75" customHeight="1">
      <c r="A136" s="76" t="str">
        <f t="shared" si="54"/>
        <v>Bajra</v>
      </c>
      <c r="B136" s="76"/>
      <c r="C136" s="77">
        <v>30</v>
      </c>
      <c r="D136" s="78">
        <f>(C68*(1-'5.Closing Stock &amp; W Capital'!$D$15))*$C$136*D$124</f>
        <v>0</v>
      </c>
      <c r="E136" s="78">
        <f>((D68*(1-'5.Closing Stock &amp; W Capital'!$D$15))+(C68*'5.Closing Stock &amp; W Capital'!$D$15))*$C$136*E$124</f>
        <v>0</v>
      </c>
      <c r="F136" s="78">
        <f>((E68*(1-'5.Closing Stock &amp; W Capital'!$D$15))+(D68*'5.Closing Stock &amp; W Capital'!$D$15))*$C$136*F$124</f>
        <v>0</v>
      </c>
      <c r="G136" s="78">
        <f>((F68*(1-'5.Closing Stock &amp; W Capital'!$D$15))+(E68*'5.Closing Stock &amp; W Capital'!$D$15))*$C$136*G$124</f>
        <v>0</v>
      </c>
      <c r="H136" s="78">
        <f>((G68*(1-'5.Closing Stock &amp; W Capital'!$D$15))+(F68*'5.Closing Stock &amp; W Capital'!$D$15))*$C$136*H$124</f>
        <v>0</v>
      </c>
      <c r="I136" s="78">
        <f>((H68*(1-'5.Closing Stock &amp; W Capital'!$D$15))+(G68*'5.Closing Stock &amp; W Capital'!$D$15))*$C$136*I$124</f>
        <v>0</v>
      </c>
      <c r="J136" s="78">
        <f>((I68*(1-'5.Closing Stock &amp; W Capital'!$D$15))+(H68*'5.Closing Stock &amp; W Capital'!$D$15))*$C$136*J$124</f>
        <v>0</v>
      </c>
      <c r="K136" s="71"/>
      <c r="U136" s="71"/>
      <c r="V136" s="71"/>
      <c r="W136" s="71"/>
    </row>
    <row r="137" spans="1:23" ht="15.75" customHeight="1">
      <c r="A137" s="76" t="str">
        <f t="shared" si="54"/>
        <v>Jawar</v>
      </c>
      <c r="B137" s="76"/>
      <c r="C137" s="77">
        <v>30</v>
      </c>
      <c r="D137" s="78">
        <f>(C69*(1-'5.Closing Stock &amp; W Capital'!$D$15))*$C$137*D$124</f>
        <v>0</v>
      </c>
      <c r="E137" s="78">
        <f>((D69*(1-'5.Closing Stock &amp; W Capital'!$D$15))+(C69*'5.Closing Stock &amp; W Capital'!$D$15))*$C$137*E$124</f>
        <v>0</v>
      </c>
      <c r="F137" s="78">
        <f>((E69*(1-'5.Closing Stock &amp; W Capital'!$D$15))+(D69*'5.Closing Stock &amp; W Capital'!$D$15))*$C$137*F$124</f>
        <v>0</v>
      </c>
      <c r="G137" s="78">
        <f>((F69*(1-'5.Closing Stock &amp; W Capital'!$D$15))+(E69*'5.Closing Stock &amp; W Capital'!$D$15))*$C$137*G$124</f>
        <v>0</v>
      </c>
      <c r="H137" s="78">
        <f>((G69*(1-'5.Closing Stock &amp; W Capital'!$D$15))+(F69*'5.Closing Stock &amp; W Capital'!$D$15))*$C$137*H$124</f>
        <v>0</v>
      </c>
      <c r="I137" s="78">
        <f>((H69*(1-'5.Closing Stock &amp; W Capital'!$D$15))+(G69*'5.Closing Stock &amp; W Capital'!$D$15))*$C$137*I$124</f>
        <v>0</v>
      </c>
      <c r="J137" s="78">
        <f>((I69*(1-'5.Closing Stock &amp; W Capital'!$D$15))+(H69*'5.Closing Stock &amp; W Capital'!$D$15))*$C$137*J$124</f>
        <v>0</v>
      </c>
      <c r="K137" s="71"/>
      <c r="U137" s="71"/>
      <c r="V137" s="71"/>
      <c r="W137" s="71"/>
    </row>
    <row r="138" spans="1:23" ht="15.75" customHeight="1">
      <c r="A138" s="79" t="str">
        <f t="shared" si="54"/>
        <v>Rabi Crop</v>
      </c>
      <c r="B138" s="76"/>
      <c r="C138" s="77"/>
      <c r="D138" s="78"/>
      <c r="E138" s="78"/>
      <c r="F138" s="78"/>
      <c r="G138" s="78"/>
      <c r="H138" s="78"/>
      <c r="I138" s="78"/>
      <c r="J138" s="78"/>
      <c r="K138" s="71"/>
      <c r="U138" s="71"/>
      <c r="V138" s="71"/>
      <c r="W138" s="71"/>
    </row>
    <row r="139" spans="1:23" ht="15.75" customHeight="1">
      <c r="A139" s="76" t="str">
        <f t="shared" si="54"/>
        <v>Wheat</v>
      </c>
      <c r="B139" s="76"/>
      <c r="C139" s="77">
        <v>40</v>
      </c>
      <c r="D139" s="78">
        <f>(C71*(1-'5.Closing Stock &amp; W Capital'!$D$15))*$C$139*D$124</f>
        <v>0</v>
      </c>
      <c r="E139" s="78">
        <f>((D71*(1-'5.Closing Stock &amp; W Capital'!$D$15))+(C71*'5.Closing Stock &amp; W Capital'!$D$15))*$C$139*E$124</f>
        <v>0</v>
      </c>
      <c r="F139" s="78">
        <f>((E71*(1-'5.Closing Stock &amp; W Capital'!$D$15))+(D71*'5.Closing Stock &amp; W Capital'!$D$15))*$C$139*F$124</f>
        <v>0</v>
      </c>
      <c r="G139" s="78">
        <f>((F71*(1-'5.Closing Stock &amp; W Capital'!$D$15))+(E71*'5.Closing Stock &amp; W Capital'!$D$15))*$C$139*G$124</f>
        <v>0</v>
      </c>
      <c r="H139" s="78">
        <f>((G71*(1-'5.Closing Stock &amp; W Capital'!$D$15))+(F71*'5.Closing Stock &amp; W Capital'!$D$15))*$C$139*H$124</f>
        <v>0</v>
      </c>
      <c r="I139" s="78">
        <f>((H71*(1-'5.Closing Stock &amp; W Capital'!$D$15))+(G71*'5.Closing Stock &amp; W Capital'!$D$15))*$C$139*I$124</f>
        <v>0</v>
      </c>
      <c r="J139" s="78">
        <f>((I71*(1-'5.Closing Stock &amp; W Capital'!$D$15))+(H71*'5.Closing Stock &amp; W Capital'!$D$15))*$C$139*J$124</f>
        <v>0</v>
      </c>
      <c r="K139" s="71"/>
      <c r="U139" s="71"/>
      <c r="V139" s="71"/>
      <c r="W139" s="71"/>
    </row>
    <row r="140" spans="1:23" ht="15.75" customHeight="1">
      <c r="A140" s="76" t="str">
        <f t="shared" si="54"/>
        <v>Bengal Gram/Channa</v>
      </c>
      <c r="B140" s="76"/>
      <c r="C140" s="77">
        <v>75</v>
      </c>
      <c r="D140" s="78">
        <f>(C72*(1-'5.Closing Stock &amp; W Capital'!$D$15))*$C$140*D$124</f>
        <v>0</v>
      </c>
      <c r="E140" s="78">
        <f>((D72*(1-'5.Closing Stock &amp; W Capital'!$D$15))+(C72*'5.Closing Stock &amp; W Capital'!$D$15))*$C$140*E$124</f>
        <v>0</v>
      </c>
      <c r="F140" s="78">
        <f>((E72*(1-'5.Closing Stock &amp; W Capital'!$D$15))+(D72*'5.Closing Stock &amp; W Capital'!$D$15))*$C$140*F$124</f>
        <v>0</v>
      </c>
      <c r="G140" s="78">
        <f>((F72*(1-'5.Closing Stock &amp; W Capital'!$D$15))+(E72*'5.Closing Stock &amp; W Capital'!$D$15))*$C$140*G$124</f>
        <v>0</v>
      </c>
      <c r="H140" s="78">
        <f>((G72*(1-'5.Closing Stock &amp; W Capital'!$D$15))+(F72*'5.Closing Stock &amp; W Capital'!$D$15))*$C$140*H$124</f>
        <v>0</v>
      </c>
      <c r="I140" s="78">
        <f>((H72*(1-'5.Closing Stock &amp; W Capital'!$D$15))+(G72*'5.Closing Stock &amp; W Capital'!$D$15))*$C$140*I$124</f>
        <v>0</v>
      </c>
      <c r="J140" s="78">
        <f>((I72*(1-'5.Closing Stock &amp; W Capital'!$D$15))+(H72*'5.Closing Stock &amp; W Capital'!$D$15))*$C$140*J$124</f>
        <v>0</v>
      </c>
      <c r="K140" s="71"/>
      <c r="U140" s="71"/>
      <c r="V140" s="71"/>
      <c r="W140" s="71"/>
    </row>
    <row r="141" spans="1:23" ht="15.75" customHeight="1">
      <c r="A141" s="76" t="str">
        <f t="shared" si="54"/>
        <v>Jawar</v>
      </c>
      <c r="B141" s="76"/>
      <c r="C141" s="77">
        <v>27</v>
      </c>
      <c r="D141" s="78">
        <f>(C73*(1-'5.Closing Stock &amp; W Capital'!$D$15))*$C$141*D$124</f>
        <v>0</v>
      </c>
      <c r="E141" s="78">
        <f>((D73*(1-'5.Closing Stock &amp; W Capital'!$D$15))+(C73*'5.Closing Stock &amp; W Capital'!$D$15))*$C$141*E$124</f>
        <v>0</v>
      </c>
      <c r="F141" s="78">
        <f>((E73*(1-'5.Closing Stock &amp; W Capital'!$D$15))+(D73*'5.Closing Stock &amp; W Capital'!$D$15))*$C$141*F$124</f>
        <v>0</v>
      </c>
      <c r="G141" s="78">
        <f>((F73*(1-'5.Closing Stock &amp; W Capital'!$D$15))+(E73*'5.Closing Stock &amp; W Capital'!$D$15))*$C$141*G$124</f>
        <v>0</v>
      </c>
      <c r="H141" s="78">
        <f>((G73*(1-'5.Closing Stock &amp; W Capital'!$D$15))+(F73*'5.Closing Stock &amp; W Capital'!$D$15))*$C$141*H$124</f>
        <v>0</v>
      </c>
      <c r="I141" s="78">
        <f>((H73*(1-'5.Closing Stock &amp; W Capital'!$D$15))+(G73*'5.Closing Stock &amp; W Capital'!$D$15))*$C$141*I$124</f>
        <v>0</v>
      </c>
      <c r="J141" s="78">
        <f>((I73*(1-'5.Closing Stock &amp; W Capital'!$D$15))+(H73*'5.Closing Stock &amp; W Capital'!$D$15))*$C$141*J$124</f>
        <v>0</v>
      </c>
      <c r="K141" s="71"/>
      <c r="U141" s="71"/>
      <c r="V141" s="71"/>
      <c r="W141" s="71"/>
    </row>
    <row r="142" spans="1:23" ht="15.75" customHeight="1">
      <c r="A142" s="76" t="str">
        <f t="shared" si="54"/>
        <v>Maize</v>
      </c>
      <c r="B142" s="76"/>
      <c r="C142" s="77">
        <v>27</v>
      </c>
      <c r="D142" s="78">
        <f>(C74*(1-'5.Closing Stock &amp; W Capital'!$D$15))*$C$142*D$124</f>
        <v>0</v>
      </c>
      <c r="E142" s="78">
        <f>((D74*(1-'5.Closing Stock &amp; W Capital'!$D$15))+(C74*'5.Closing Stock &amp; W Capital'!$D$15))*$C$142*E$124</f>
        <v>0</v>
      </c>
      <c r="F142" s="78">
        <f>((E74*(1-'5.Closing Stock &amp; W Capital'!$D$15))+(D74*'5.Closing Stock &amp; W Capital'!$D$15))*$C$142*F$124</f>
        <v>0</v>
      </c>
      <c r="G142" s="78">
        <f>((F74*(1-'5.Closing Stock &amp; W Capital'!$D$15))+(E74*'5.Closing Stock &amp; W Capital'!$D$15))*$C$142*G$124</f>
        <v>0</v>
      </c>
      <c r="H142" s="78">
        <f>((G74*(1-'5.Closing Stock &amp; W Capital'!$D$15))+(F74*'5.Closing Stock &amp; W Capital'!$D$15))*$C$142*H$124</f>
        <v>0</v>
      </c>
      <c r="I142" s="78">
        <f>((H74*(1-'5.Closing Stock &amp; W Capital'!$D$15))+(G74*'5.Closing Stock &amp; W Capital'!$D$15))*$C$142*I$124</f>
        <v>0</v>
      </c>
      <c r="J142" s="78">
        <f>((I74*(1-'5.Closing Stock &amp; W Capital'!$D$15))+(H74*'5.Closing Stock &amp; W Capital'!$D$15))*$C$142*J$124</f>
        <v>0</v>
      </c>
      <c r="K142" s="71"/>
      <c r="U142" s="71"/>
      <c r="V142" s="71"/>
      <c r="W142" s="71"/>
    </row>
    <row r="143" spans="1:23" ht="15.75" customHeight="1">
      <c r="A143" s="76" t="str">
        <f t="shared" si="54"/>
        <v>Safflower</v>
      </c>
      <c r="B143" s="76"/>
      <c r="C143" s="77"/>
      <c r="D143" s="78">
        <f>(C75*(1-'5.Closing Stock &amp; W Capital'!$D$15))*$C$143*D$124</f>
        <v>0</v>
      </c>
      <c r="E143" s="78">
        <f>((D75*(1-'5.Closing Stock &amp; W Capital'!$D$15))+(C75*'5.Closing Stock &amp; W Capital'!$D$15))*$C$143*E$124</f>
        <v>0</v>
      </c>
      <c r="F143" s="78">
        <f>((E75*(1-'5.Closing Stock &amp; W Capital'!$D$15))+(D75*'5.Closing Stock &amp; W Capital'!$D$15))*$C$143*F$124</f>
        <v>0</v>
      </c>
      <c r="G143" s="78">
        <f>((F75*(1-'5.Closing Stock &amp; W Capital'!$D$15))+(E75*'5.Closing Stock &amp; W Capital'!$D$15))*$C$143*G$124</f>
        <v>0</v>
      </c>
      <c r="H143" s="78">
        <f>((G75*(1-'5.Closing Stock &amp; W Capital'!$D$15))+(F75*'5.Closing Stock &amp; W Capital'!$D$15))*$C$143*H$124</f>
        <v>0</v>
      </c>
      <c r="I143" s="78">
        <f>((H75*(1-'5.Closing Stock &amp; W Capital'!$D$15))+(G75*'5.Closing Stock &amp; W Capital'!$D$15))*$C$143*I$124</f>
        <v>0</v>
      </c>
      <c r="J143" s="78">
        <f>((I75*(1-'5.Closing Stock &amp; W Capital'!$D$15))+(H75*'5.Closing Stock &amp; W Capital'!$D$15))*$C$143*J$124</f>
        <v>0</v>
      </c>
      <c r="K143" s="71"/>
      <c r="U143" s="71"/>
      <c r="V143" s="71"/>
      <c r="W143" s="71"/>
    </row>
    <row r="144" spans="1:23" ht="15.75" customHeight="1">
      <c r="A144" s="76">
        <f t="shared" si="54"/>
        <v>0</v>
      </c>
      <c r="B144" s="76"/>
      <c r="C144" s="77"/>
      <c r="D144" s="78">
        <f>(C76*(1-'5.Closing Stock &amp; W Capital'!$D$15))*$C$144*D$124</f>
        <v>0</v>
      </c>
      <c r="E144" s="78">
        <f>((D76*(1-'5.Closing Stock &amp; W Capital'!$D$15))+(C76*'5.Closing Stock &amp; W Capital'!$D$15))*$C$144*E$124</f>
        <v>0</v>
      </c>
      <c r="F144" s="78">
        <f>((E76*(1-'5.Closing Stock &amp; W Capital'!$D$15))+(D76*'5.Closing Stock &amp; W Capital'!$D$15))*$C$144*F$124</f>
        <v>0</v>
      </c>
      <c r="G144" s="78">
        <f>((F76*(1-'5.Closing Stock &amp; W Capital'!$D$15))+(E76*'5.Closing Stock &amp; W Capital'!$D$15))*$C$144*G$124</f>
        <v>0</v>
      </c>
      <c r="H144" s="78">
        <f>((G76*(1-'5.Closing Stock &amp; W Capital'!$D$15))+(F76*'5.Closing Stock &amp; W Capital'!$D$15))*$C$144*H$124</f>
        <v>0</v>
      </c>
      <c r="I144" s="78">
        <f>((H76*(1-'5.Closing Stock &amp; W Capital'!$D$15))+(G76*'5.Closing Stock &amp; W Capital'!$D$15))*$C$144*I$124</f>
        <v>0</v>
      </c>
      <c r="J144" s="78">
        <f>((I76*(1-'5.Closing Stock &amp; W Capital'!$D$15))+(H76*'5.Closing Stock &amp; W Capital'!$D$15))*$C$144*J$124</f>
        <v>0</v>
      </c>
      <c r="K144" s="71"/>
      <c r="U144" s="71"/>
      <c r="V144" s="71"/>
      <c r="W144" s="71"/>
    </row>
    <row r="145" spans="1:23" ht="15.75" customHeight="1">
      <c r="A145" s="76">
        <f t="shared" si="54"/>
        <v>0</v>
      </c>
      <c r="B145" s="76"/>
      <c r="C145" s="77"/>
      <c r="D145" s="78">
        <f>(C77*(1-'5.Closing Stock &amp; W Capital'!$D$15))*$C$145*D$124</f>
        <v>0</v>
      </c>
      <c r="E145" s="78">
        <f>((D77*(1-'5.Closing Stock &amp; W Capital'!$D$15))+(C77*'5.Closing Stock &amp; W Capital'!$D$15))*$C$145*E$124</f>
        <v>0</v>
      </c>
      <c r="F145" s="78">
        <f>((E77*(1-'5.Closing Stock &amp; W Capital'!$D$15))+(D77*'5.Closing Stock &amp; W Capital'!$D$15))*$C$145*F$124</f>
        <v>0</v>
      </c>
      <c r="G145" s="78">
        <f>((F77*(1-'5.Closing Stock &amp; W Capital'!$D$15))+(E77*'5.Closing Stock &amp; W Capital'!$D$15))*$C$145*G$124</f>
        <v>0</v>
      </c>
      <c r="H145" s="78">
        <f>((G77*(1-'5.Closing Stock &amp; W Capital'!$D$15))+(F77*'5.Closing Stock &amp; W Capital'!$D$15))*$C$145*H$124</f>
        <v>0</v>
      </c>
      <c r="I145" s="78">
        <f>((H77*(1-'5.Closing Stock &amp; W Capital'!$D$15))+(G77*'5.Closing Stock &amp; W Capital'!$D$15))*$C$145*I$124</f>
        <v>0</v>
      </c>
      <c r="J145" s="78">
        <f>((I77*(1-'5.Closing Stock &amp; W Capital'!$D$15))+(H77*'5.Closing Stock &amp; W Capital'!$D$15))*$C$145*J$124</f>
        <v>0</v>
      </c>
      <c r="K145" s="71"/>
      <c r="U145" s="71"/>
      <c r="V145" s="71"/>
      <c r="W145" s="71"/>
    </row>
    <row r="146" spans="1:23" ht="15.75" customHeight="1">
      <c r="A146" s="76">
        <f t="shared" si="54"/>
        <v>0</v>
      </c>
      <c r="B146" s="76"/>
      <c r="C146" s="77"/>
      <c r="D146" s="78">
        <f>(C78*(1-'5.Closing Stock &amp; W Capital'!$D$15))*$C$146*D$124</f>
        <v>0</v>
      </c>
      <c r="E146" s="78">
        <f>((D78*(1-'5.Closing Stock &amp; W Capital'!$D$15))+(C78*'5.Closing Stock &amp; W Capital'!$D$15))*$C$146*E$124</f>
        <v>0</v>
      </c>
      <c r="F146" s="78">
        <f>((E78*(1-'5.Closing Stock &amp; W Capital'!$D$15))+(D78*'5.Closing Stock &amp; W Capital'!$D$15))*$C$146*F$124</f>
        <v>0</v>
      </c>
      <c r="G146" s="78">
        <f>((F78*(1-'5.Closing Stock &amp; W Capital'!$D$15))+(E78*'5.Closing Stock &amp; W Capital'!$D$15))*$C$146*G$124</f>
        <v>0</v>
      </c>
      <c r="H146" s="78">
        <f>((G78*(1-'5.Closing Stock &amp; W Capital'!$D$15))+(F78*'5.Closing Stock &amp; W Capital'!$D$15))*$C$146*H$124</f>
        <v>0</v>
      </c>
      <c r="I146" s="78">
        <f>((H78*(1-'5.Closing Stock &amp; W Capital'!$D$15))+(G78*'5.Closing Stock &amp; W Capital'!$D$15))*$C$146*I$124</f>
        <v>0</v>
      </c>
      <c r="J146" s="78">
        <f>((I78*(1-'5.Closing Stock &amp; W Capital'!$D$15))+(H78*'5.Closing Stock &amp; W Capital'!$D$15))*$C$146*J$124</f>
        <v>0</v>
      </c>
      <c r="K146" s="71"/>
      <c r="U146" s="71"/>
      <c r="V146" s="71"/>
      <c r="W146" s="71"/>
    </row>
    <row r="147" spans="1:23" ht="15.75" customHeight="1">
      <c r="A147" s="79" t="str">
        <f t="shared" si="54"/>
        <v>Summer</v>
      </c>
      <c r="B147" s="76"/>
      <c r="C147" s="77"/>
      <c r="D147" s="78"/>
      <c r="E147" s="78"/>
      <c r="F147" s="78"/>
      <c r="G147" s="78"/>
      <c r="H147" s="78"/>
      <c r="I147" s="78"/>
      <c r="J147" s="78"/>
      <c r="K147" s="71"/>
      <c r="U147" s="71"/>
      <c r="V147" s="71"/>
      <c r="W147" s="71"/>
    </row>
    <row r="148" spans="1:23" ht="15.75" customHeight="1">
      <c r="A148" s="76" t="str">
        <f t="shared" si="54"/>
        <v>Groundnut</v>
      </c>
      <c r="B148" s="76"/>
      <c r="C148" s="77"/>
      <c r="D148" s="78">
        <f>(C80*(1-'5.Closing Stock &amp; W Capital'!$D$15))*$C$148*D$124</f>
        <v>0</v>
      </c>
      <c r="E148" s="78">
        <f>((D80*(1-'5.Closing Stock &amp; W Capital'!$D$15))+(C80*'5.Closing Stock &amp; W Capital'!$D$15))*$C$148*E$124</f>
        <v>0</v>
      </c>
      <c r="F148" s="78">
        <f>((E80*(1-'5.Closing Stock &amp; W Capital'!$D$15))+(D80*'5.Closing Stock &amp; W Capital'!$D$15))*$C$148*F$124</f>
        <v>0</v>
      </c>
      <c r="G148" s="78">
        <f>((F80*(1-'5.Closing Stock &amp; W Capital'!$D$15))+(E80*'5.Closing Stock &amp; W Capital'!$D$15))*$C$148*G$124</f>
        <v>0</v>
      </c>
      <c r="H148" s="78">
        <f>((G80*(1-'5.Closing Stock &amp; W Capital'!$D$15))+(F80*'5.Closing Stock &amp; W Capital'!$D$15))*$C$148*H$124</f>
        <v>0</v>
      </c>
      <c r="I148" s="78">
        <f>((H80*(1-'5.Closing Stock &amp; W Capital'!$D$15))+(G80*'5.Closing Stock &amp; W Capital'!$D$15))*$C$148*I$124</f>
        <v>0</v>
      </c>
      <c r="J148" s="78">
        <f>((I80*(1-'5.Closing Stock &amp; W Capital'!$D$15))+(H80*'5.Closing Stock &amp; W Capital'!$D$15))*$C$148*J$124</f>
        <v>0</v>
      </c>
      <c r="K148" s="71"/>
      <c r="U148" s="71"/>
      <c r="V148" s="71"/>
      <c r="W148" s="71"/>
    </row>
    <row r="149" spans="1:23" ht="15.75" customHeight="1">
      <c r="A149" s="76">
        <f t="shared" si="54"/>
        <v>0</v>
      </c>
      <c r="B149" s="76"/>
      <c r="C149" s="77"/>
      <c r="D149" s="78">
        <f>(C81*(1-'5.Closing Stock &amp; W Capital'!$D$15))*$C$149*D$124</f>
        <v>0</v>
      </c>
      <c r="E149" s="78">
        <f>((D81*(1-'5.Closing Stock &amp; W Capital'!$D$15))+(C81*'5.Closing Stock &amp; W Capital'!$D$15))*$C$149*E$124</f>
        <v>0</v>
      </c>
      <c r="F149" s="78">
        <f>((E81*(1-'5.Closing Stock &amp; W Capital'!$D$15))+(D81*'5.Closing Stock &amp; W Capital'!$D$15))*$C$149*F$124</f>
        <v>0</v>
      </c>
      <c r="G149" s="78">
        <f>((F81*(1-'5.Closing Stock &amp; W Capital'!$D$15))+(E81*'5.Closing Stock &amp; W Capital'!$D$15))*$C$149*G$124</f>
        <v>0</v>
      </c>
      <c r="H149" s="78">
        <f>((G81*(1-'5.Closing Stock &amp; W Capital'!$D$15))+(F81*'5.Closing Stock &amp; W Capital'!$D$15))*$C$149*H$124</f>
        <v>0</v>
      </c>
      <c r="I149" s="78">
        <f>((H81*(1-'5.Closing Stock &amp; W Capital'!$D$15))+(G81*'5.Closing Stock &amp; W Capital'!$D$15))*$C$149*I$124</f>
        <v>0</v>
      </c>
      <c r="J149" s="78">
        <f>((I81*(1-'5.Closing Stock &amp; W Capital'!$D$15))+(H81*'5.Closing Stock &amp; W Capital'!$D$15))*$C$149*J$124</f>
        <v>0</v>
      </c>
      <c r="K149" s="71"/>
      <c r="U149" s="71"/>
      <c r="V149" s="71"/>
      <c r="W149" s="71"/>
    </row>
    <row r="150" spans="1:23" ht="15.75" customHeight="1">
      <c r="A150" s="76">
        <f t="shared" si="54"/>
        <v>0</v>
      </c>
      <c r="B150" s="76"/>
      <c r="C150" s="77"/>
      <c r="D150" s="78">
        <f>(C82*(1-'5.Closing Stock &amp; W Capital'!$D$15))*$C$150*D$124</f>
        <v>0</v>
      </c>
      <c r="E150" s="78">
        <f>((D82*(1-'5.Closing Stock &amp; W Capital'!$D$15))+(C82*'5.Closing Stock &amp; W Capital'!$D$15))*$C$150*E$124</f>
        <v>0</v>
      </c>
      <c r="F150" s="78">
        <f>((E82*(1-'5.Closing Stock &amp; W Capital'!$D$15))+(D82*'5.Closing Stock &amp; W Capital'!$D$15))*$C$150*F$124</f>
        <v>0</v>
      </c>
      <c r="G150" s="78">
        <f>((F82*(1-'5.Closing Stock &amp; W Capital'!$D$15))+(E82*'5.Closing Stock &amp; W Capital'!$D$15))*$C$150*G$124</f>
        <v>0</v>
      </c>
      <c r="H150" s="78">
        <f>((G82*(1-'5.Closing Stock &amp; W Capital'!$D$15))+(F82*'5.Closing Stock &amp; W Capital'!$D$15))*$C$150*H$124</f>
        <v>0</v>
      </c>
      <c r="I150" s="78">
        <f>((H82*(1-'5.Closing Stock &amp; W Capital'!$D$15))+(G82*'5.Closing Stock &amp; W Capital'!$D$15))*$C$150*I$124</f>
        <v>0</v>
      </c>
      <c r="J150" s="78">
        <f>((I82*(1-'5.Closing Stock &amp; W Capital'!$D$15))+(H82*'5.Closing Stock &amp; W Capital'!$D$15))*$C$150*J$124</f>
        <v>0</v>
      </c>
      <c r="K150" s="71"/>
      <c r="U150" s="71"/>
      <c r="V150" s="71"/>
      <c r="W150" s="71"/>
    </row>
    <row r="151" spans="1:23" ht="15.75" customHeight="1">
      <c r="A151" s="76">
        <f t="shared" si="54"/>
        <v>0</v>
      </c>
      <c r="B151" s="76"/>
      <c r="C151" s="77"/>
      <c r="D151" s="78">
        <f>(C83*(1-'5.Closing Stock &amp; W Capital'!$D$15))*$C$151*D$124</f>
        <v>0</v>
      </c>
      <c r="E151" s="78">
        <f>((D83*(1-'5.Closing Stock &amp; W Capital'!$D$15))+(C83*'5.Closing Stock &amp; W Capital'!$D$15))*$C$151*E$124</f>
        <v>0</v>
      </c>
      <c r="F151" s="78">
        <f>((E83*(1-'5.Closing Stock &amp; W Capital'!$D$15))+(D83*'5.Closing Stock &amp; W Capital'!$D$15))*$C$151*F$124</f>
        <v>0</v>
      </c>
      <c r="G151" s="78">
        <f>((F83*(1-'5.Closing Stock &amp; W Capital'!$D$15))+(E83*'5.Closing Stock &amp; W Capital'!$D$15))*$C$151*G$124</f>
        <v>0</v>
      </c>
      <c r="H151" s="78">
        <f>((G83*(1-'5.Closing Stock &amp; W Capital'!$D$15))+(F83*'5.Closing Stock &amp; W Capital'!$D$15))*$C$151*H$124</f>
        <v>0</v>
      </c>
      <c r="I151" s="78">
        <f>((H83*(1-'5.Closing Stock &amp; W Capital'!$D$15))+(G83*'5.Closing Stock &amp; W Capital'!$D$15))*$C$151*I$124</f>
        <v>0</v>
      </c>
      <c r="J151" s="78">
        <f>((I83*(1-'5.Closing Stock &amp; W Capital'!$D$15))+(H83*'5.Closing Stock &amp; W Capital'!$D$15))*$C$151*J$124</f>
        <v>0</v>
      </c>
      <c r="K151" s="71"/>
      <c r="U151" s="71"/>
      <c r="V151" s="71"/>
      <c r="W151" s="71"/>
    </row>
    <row r="152" spans="1:23" ht="15.75" customHeight="1">
      <c r="A152" s="76">
        <f t="shared" si="54"/>
        <v>0</v>
      </c>
      <c r="B152" s="76"/>
      <c r="C152" s="77"/>
      <c r="D152" s="78">
        <f>(C84*(1-'5.Closing Stock &amp; W Capital'!$D$15))*$C$152*D$124</f>
        <v>0</v>
      </c>
      <c r="E152" s="78">
        <f>((D84*(1-'5.Closing Stock &amp; W Capital'!$D$15))+(C84*'5.Closing Stock &amp; W Capital'!$D$15))*$C$152*E$124</f>
        <v>0</v>
      </c>
      <c r="F152" s="78">
        <f>((E84*(1-'5.Closing Stock &amp; W Capital'!$D$15))+(D84*'5.Closing Stock &amp; W Capital'!$D$15))*$C$152*F$124</f>
        <v>0</v>
      </c>
      <c r="G152" s="78">
        <f>((F84*(1-'5.Closing Stock &amp; W Capital'!$D$15))+(E84*'5.Closing Stock &amp; W Capital'!$D$15))*$C$152*G$124</f>
        <v>0</v>
      </c>
      <c r="H152" s="78">
        <f>((G84*(1-'5.Closing Stock &amp; W Capital'!$D$15))+(F84*'5.Closing Stock &amp; W Capital'!$D$15))*$C$152*H$124</f>
        <v>0</v>
      </c>
      <c r="I152" s="78">
        <f>((H84*(1-'5.Closing Stock &amp; W Capital'!$D$15))+(G84*'5.Closing Stock &amp; W Capital'!$D$15))*$C$152*I$124</f>
        <v>0</v>
      </c>
      <c r="J152" s="78">
        <f>((I84*(1-'5.Closing Stock &amp; W Capital'!$D$15))+(H84*'5.Closing Stock &amp; W Capital'!$D$15))*$C$152*J$124</f>
        <v>0</v>
      </c>
      <c r="K152" s="71"/>
      <c r="U152" s="71"/>
      <c r="V152" s="71"/>
      <c r="W152" s="71"/>
    </row>
    <row r="153" spans="1:23" ht="15.75" customHeight="1">
      <c r="A153" s="76" t="str">
        <f t="shared" si="54"/>
        <v>Fruit  &amp; Vegetables Crop Production Details</v>
      </c>
      <c r="B153" s="76"/>
      <c r="C153" s="77"/>
      <c r="D153" s="78"/>
      <c r="E153" s="78"/>
      <c r="F153" s="78"/>
      <c r="G153" s="78"/>
      <c r="H153" s="78"/>
      <c r="I153" s="78"/>
      <c r="J153" s="78"/>
      <c r="K153" s="71"/>
      <c r="U153" s="71"/>
      <c r="V153" s="71"/>
      <c r="W153" s="71"/>
    </row>
    <row r="154" spans="1:23" ht="15.75" customHeight="1">
      <c r="A154" s="76" t="str">
        <f t="shared" si="54"/>
        <v>Onion</v>
      </c>
      <c r="B154" s="76"/>
      <c r="C154" s="77"/>
      <c r="D154" s="78">
        <f>(C86*(1-'5.Closing Stock &amp; W Capital'!$D$15))*$C154*D$124</f>
        <v>0</v>
      </c>
      <c r="E154" s="78">
        <f>((D86*(1-'5.Closing Stock &amp; W Capital'!$D$15))+(C86*'5.Closing Stock &amp; W Capital'!$D$15))*$C154*E$124</f>
        <v>0</v>
      </c>
      <c r="F154" s="78">
        <f>((E86*(1-'5.Closing Stock &amp; W Capital'!$D$15))+(D86*'5.Closing Stock &amp; W Capital'!$D$15))*$C$152*F$124</f>
        <v>0</v>
      </c>
      <c r="G154" s="78">
        <f>((F86*(1-'5.Closing Stock &amp; W Capital'!$D$15))+(E86*'5.Closing Stock &amp; W Capital'!$D$15))*$C$152*G$124</f>
        <v>0</v>
      </c>
      <c r="H154" s="78">
        <f>((G86*(1-'5.Closing Stock &amp; W Capital'!$D$15))+(F86*'5.Closing Stock &amp; W Capital'!$D$15))*$C$152*H$124</f>
        <v>0</v>
      </c>
      <c r="I154" s="78">
        <f>((H86*(1-'5.Closing Stock &amp; W Capital'!$D$15))+(G86*'5.Closing Stock &amp; W Capital'!$D$15))*$C$152*I$124</f>
        <v>0</v>
      </c>
      <c r="J154" s="78">
        <f>((I86*(1-'5.Closing Stock &amp; W Capital'!$D$15))+(H86*'5.Closing Stock &amp; W Capital'!$D$15))*$C$152*J$124</f>
        <v>0</v>
      </c>
      <c r="K154" s="71"/>
      <c r="U154" s="71"/>
      <c r="V154" s="71"/>
      <c r="W154" s="71"/>
    </row>
    <row r="155" spans="1:23" ht="15.75" customHeight="1">
      <c r="A155" s="76" t="str">
        <f t="shared" si="54"/>
        <v>Tomato</v>
      </c>
      <c r="B155" s="76"/>
      <c r="C155" s="77"/>
      <c r="D155" s="78">
        <f>(C87*(1-'5.Closing Stock &amp; W Capital'!$D$15))*$C155*D$124</f>
        <v>0</v>
      </c>
      <c r="E155" s="78">
        <f>((D87*(1-'5.Closing Stock &amp; W Capital'!$D$15))+(C87*'5.Closing Stock &amp; W Capital'!$D$15))*$C155*E$124</f>
        <v>0</v>
      </c>
      <c r="F155" s="78">
        <f>((E87*(1-'5.Closing Stock &amp; W Capital'!$D$15))+(D87*'5.Closing Stock &amp; W Capital'!$D$15))*$C$152*F$124</f>
        <v>0</v>
      </c>
      <c r="G155" s="78">
        <f>((F87*(1-'5.Closing Stock &amp; W Capital'!$D$15))+(E87*'5.Closing Stock &amp; W Capital'!$D$15))*$C$152*G$124</f>
        <v>0</v>
      </c>
      <c r="H155" s="78">
        <f>((G87*(1-'5.Closing Stock &amp; W Capital'!$D$15))+(F87*'5.Closing Stock &amp; W Capital'!$D$15))*$C$152*H$124</f>
        <v>0</v>
      </c>
      <c r="I155" s="78">
        <f>((H87*(1-'5.Closing Stock &amp; W Capital'!$D$15))+(G87*'5.Closing Stock &amp; W Capital'!$D$15))*$C$152*I$124</f>
        <v>0</v>
      </c>
      <c r="J155" s="78">
        <f>((I87*(1-'5.Closing Stock &amp; W Capital'!$D$15))+(H87*'5.Closing Stock &amp; W Capital'!$D$15))*$C$152*J$124</f>
        <v>0</v>
      </c>
      <c r="K155" s="71"/>
      <c r="U155" s="71"/>
      <c r="V155" s="71"/>
      <c r="W155" s="71"/>
    </row>
    <row r="156" spans="1:23" ht="15.75" customHeight="1">
      <c r="A156" s="76" t="str">
        <f t="shared" si="54"/>
        <v>Okra</v>
      </c>
      <c r="B156" s="76"/>
      <c r="C156" s="77"/>
      <c r="D156" s="78">
        <f>(C88*(1-'5.Closing Stock &amp; W Capital'!$D$15))*$C156*D$124</f>
        <v>0</v>
      </c>
      <c r="E156" s="78">
        <f>((D88*(1-'5.Closing Stock &amp; W Capital'!$D$15))+(C88*'5.Closing Stock &amp; W Capital'!$D$15))*$C156*E$124</f>
        <v>0</v>
      </c>
      <c r="F156" s="78">
        <f>((E88*(1-'5.Closing Stock &amp; W Capital'!$D$15))+(D88*'5.Closing Stock &amp; W Capital'!$D$15))*$C$152*F$124</f>
        <v>0</v>
      </c>
      <c r="G156" s="78">
        <f>((F88*(1-'5.Closing Stock &amp; W Capital'!$D$15))+(E88*'5.Closing Stock &amp; W Capital'!$D$15))*$C$152*G$124</f>
        <v>0</v>
      </c>
      <c r="H156" s="78">
        <f>((G88*(1-'5.Closing Stock &amp; W Capital'!$D$15))+(F88*'5.Closing Stock &amp; W Capital'!$D$15))*$C$152*H$124</f>
        <v>0</v>
      </c>
      <c r="I156" s="78">
        <f>((H88*(1-'5.Closing Stock &amp; W Capital'!$D$15))+(G88*'5.Closing Stock &amp; W Capital'!$D$15))*$C$152*I$124</f>
        <v>0</v>
      </c>
      <c r="J156" s="78">
        <f>((I88*(1-'5.Closing Stock &amp; W Capital'!$D$15))+(H88*'5.Closing Stock &amp; W Capital'!$D$15))*$C$152*J$124</f>
        <v>0</v>
      </c>
      <c r="K156" s="71"/>
      <c r="U156" s="71"/>
      <c r="V156" s="71"/>
      <c r="W156" s="71"/>
    </row>
    <row r="157" spans="1:23" ht="15.75" customHeight="1">
      <c r="A157" s="76" t="str">
        <f t="shared" si="54"/>
        <v>Chilli</v>
      </c>
      <c r="B157" s="76"/>
      <c r="C157" s="77"/>
      <c r="D157" s="78">
        <f>(C89*(1-'5.Closing Stock &amp; W Capital'!$D$15))*$C157*D$124</f>
        <v>0</v>
      </c>
      <c r="E157" s="78">
        <f>((D89*(1-'5.Closing Stock &amp; W Capital'!$D$15))+(C89*'5.Closing Stock &amp; W Capital'!$D$15))*$C157*E$124</f>
        <v>0</v>
      </c>
      <c r="F157" s="78">
        <f>((E89*(1-'5.Closing Stock &amp; W Capital'!$D$15))+(D89*'5.Closing Stock &amp; W Capital'!$D$15))*$C$152*F$124</f>
        <v>0</v>
      </c>
      <c r="G157" s="78">
        <f>((F89*(1-'5.Closing Stock &amp; W Capital'!$D$15))+(E89*'5.Closing Stock &amp; W Capital'!$D$15))*$C$152*G$124</f>
        <v>0</v>
      </c>
      <c r="H157" s="78">
        <f>((G89*(1-'5.Closing Stock &amp; W Capital'!$D$15))+(F89*'5.Closing Stock &amp; W Capital'!$D$15))*$C$152*H$124</f>
        <v>0</v>
      </c>
      <c r="I157" s="78">
        <f>((H89*(1-'5.Closing Stock &amp; W Capital'!$D$15))+(G89*'5.Closing Stock &amp; W Capital'!$D$15))*$C$152*I$124</f>
        <v>0</v>
      </c>
      <c r="J157" s="78">
        <f>((I89*(1-'5.Closing Stock &amp; W Capital'!$D$15))+(H89*'5.Closing Stock &amp; W Capital'!$D$15))*$C$152*J$124</f>
        <v>0</v>
      </c>
      <c r="K157" s="71"/>
      <c r="U157" s="71"/>
      <c r="V157" s="71"/>
      <c r="W157" s="71"/>
    </row>
    <row r="158" spans="1:23" ht="15.75" customHeight="1">
      <c r="A158" s="76" t="str">
        <f t="shared" si="54"/>
        <v>Potato</v>
      </c>
      <c r="B158" s="76"/>
      <c r="C158" s="77"/>
      <c r="D158" s="78">
        <f>(C90*(1-'5.Closing Stock &amp; W Capital'!$D$15))*$C158*D$124</f>
        <v>0</v>
      </c>
      <c r="E158" s="78">
        <f>((D90*(1-'5.Closing Stock &amp; W Capital'!$D$15))+(C90*'5.Closing Stock &amp; W Capital'!$D$15))*$C158*E$124</f>
        <v>0</v>
      </c>
      <c r="F158" s="78">
        <f>((E90*(1-'5.Closing Stock &amp; W Capital'!$D$15))+(D90*'5.Closing Stock &amp; W Capital'!$D$15))*$C$152*F$124</f>
        <v>0</v>
      </c>
      <c r="G158" s="78">
        <f>((F90*(1-'5.Closing Stock &amp; W Capital'!$D$15))+(E90*'5.Closing Stock &amp; W Capital'!$D$15))*$C$152*G$124</f>
        <v>0</v>
      </c>
      <c r="H158" s="78">
        <f>((G90*(1-'5.Closing Stock &amp; W Capital'!$D$15))+(F90*'5.Closing Stock &amp; W Capital'!$D$15))*$C$152*H$124</f>
        <v>0</v>
      </c>
      <c r="I158" s="78">
        <f>((H90*(1-'5.Closing Stock &amp; W Capital'!$D$15))+(G90*'5.Closing Stock &amp; W Capital'!$D$15))*$C$152*I$124</f>
        <v>0</v>
      </c>
      <c r="J158" s="78">
        <f>((I90*(1-'5.Closing Stock &amp; W Capital'!$D$15))+(H90*'5.Closing Stock &amp; W Capital'!$D$15))*$C$152*J$124</f>
        <v>0</v>
      </c>
      <c r="K158" s="71"/>
      <c r="U158" s="71"/>
      <c r="V158" s="71"/>
      <c r="W158" s="71"/>
    </row>
    <row r="159" spans="1:23" ht="15.75" customHeight="1">
      <c r="A159" s="76">
        <f t="shared" si="54"/>
        <v>0</v>
      </c>
      <c r="B159" s="76"/>
      <c r="C159" s="77"/>
      <c r="D159" s="78">
        <f>(C91*(1-'5.Closing Stock &amp; W Capital'!$D$15))*$C159*D$124</f>
        <v>0</v>
      </c>
      <c r="E159" s="78">
        <f>((D91*(1-'5.Closing Stock &amp; W Capital'!$D$15))+(C91*'5.Closing Stock &amp; W Capital'!$D$15))*$C159*E$124</f>
        <v>0</v>
      </c>
      <c r="F159" s="78">
        <f>((E91*(1-'5.Closing Stock &amp; W Capital'!$D$15))+(D91*'5.Closing Stock &amp; W Capital'!$D$15))*$C$152*F$124</f>
        <v>0</v>
      </c>
      <c r="G159" s="78">
        <f>((F91*(1-'5.Closing Stock &amp; W Capital'!$D$15))+(E91*'5.Closing Stock &amp; W Capital'!$D$15))*$C$152*G$124</f>
        <v>0</v>
      </c>
      <c r="H159" s="78">
        <f>((G91*(1-'5.Closing Stock &amp; W Capital'!$D$15))+(F91*'5.Closing Stock &amp; W Capital'!$D$15))*$C$152*H$124</f>
        <v>0</v>
      </c>
      <c r="I159" s="78">
        <f>((H91*(1-'5.Closing Stock &amp; W Capital'!$D$15))+(G91*'5.Closing Stock &amp; W Capital'!$D$15))*$C$152*I$124</f>
        <v>0</v>
      </c>
      <c r="J159" s="78">
        <f>((I91*(1-'5.Closing Stock &amp; W Capital'!$D$15))+(H91*'5.Closing Stock &amp; W Capital'!$D$15))*$C$152*J$124</f>
        <v>0</v>
      </c>
      <c r="K159" s="71"/>
      <c r="U159" s="71"/>
      <c r="V159" s="71"/>
      <c r="W159" s="71"/>
    </row>
    <row r="160" spans="1:23" ht="15.75" customHeight="1">
      <c r="A160" s="76">
        <f t="shared" si="54"/>
        <v>0</v>
      </c>
      <c r="B160" s="76"/>
      <c r="C160" s="77"/>
      <c r="D160" s="78">
        <f>(C92*(1-'5.Closing Stock &amp; W Capital'!$D$15))*$C160*D$124</f>
        <v>0</v>
      </c>
      <c r="E160" s="78">
        <f>((D92*(1-'5.Closing Stock &amp; W Capital'!$D$15))+(C92*'5.Closing Stock &amp; W Capital'!$D$15))*$C160*E$124</f>
        <v>0</v>
      </c>
      <c r="F160" s="78">
        <f>((E92*(1-'5.Closing Stock &amp; W Capital'!$D$15))+(D92*'5.Closing Stock &amp; W Capital'!$D$15))*$C$152*F$124</f>
        <v>0</v>
      </c>
      <c r="G160" s="78">
        <f>((F92*(1-'5.Closing Stock &amp; W Capital'!$D$15))+(E92*'5.Closing Stock &amp; W Capital'!$D$15))*$C$152*G$124</f>
        <v>0</v>
      </c>
      <c r="H160" s="78">
        <f>((G92*(1-'5.Closing Stock &amp; W Capital'!$D$15))+(F92*'5.Closing Stock &amp; W Capital'!$D$15))*$C$152*H$124</f>
        <v>0</v>
      </c>
      <c r="I160" s="78">
        <f>((H92*(1-'5.Closing Stock &amp; W Capital'!$D$15))+(G92*'5.Closing Stock &amp; W Capital'!$D$15))*$C$152*I$124</f>
        <v>0</v>
      </c>
      <c r="J160" s="78">
        <f>((I92*(1-'5.Closing Stock &amp; W Capital'!$D$15))+(H92*'5.Closing Stock &amp; W Capital'!$D$15))*$C$152*J$124</f>
        <v>0</v>
      </c>
      <c r="K160" s="71"/>
      <c r="U160" s="71"/>
      <c r="V160" s="71"/>
      <c r="W160" s="71"/>
    </row>
    <row r="161" spans="1:23" ht="15.75" customHeight="1">
      <c r="A161" s="76">
        <f t="shared" si="54"/>
        <v>0</v>
      </c>
      <c r="B161" s="76"/>
      <c r="C161" s="77"/>
      <c r="D161" s="78">
        <f>(C93*(1-'5.Closing Stock &amp; W Capital'!$D$15))*$C161*D$124</f>
        <v>0</v>
      </c>
      <c r="E161" s="78">
        <f>((D93*(1-'5.Closing Stock &amp; W Capital'!$D$15))+(C93*'5.Closing Stock &amp; W Capital'!$D$15))*$C161*E$124</f>
        <v>0</v>
      </c>
      <c r="F161" s="78">
        <f>((E93*(1-'5.Closing Stock &amp; W Capital'!$D$15))+(D93*'5.Closing Stock &amp; W Capital'!$D$15))*$C$152*F$124</f>
        <v>0</v>
      </c>
      <c r="G161" s="78">
        <f>((F93*(1-'5.Closing Stock &amp; W Capital'!$D$15))+(E93*'5.Closing Stock &amp; W Capital'!$D$15))*$C$152*G$124</f>
        <v>0</v>
      </c>
      <c r="H161" s="78">
        <f>((G93*(1-'5.Closing Stock &amp; W Capital'!$D$15))+(F93*'5.Closing Stock &amp; W Capital'!$D$15))*$C$152*H$124</f>
        <v>0</v>
      </c>
      <c r="I161" s="78">
        <f>((H93*(1-'5.Closing Stock &amp; W Capital'!$D$15))+(G93*'5.Closing Stock &amp; W Capital'!$D$15))*$C$152*I$124</f>
        <v>0</v>
      </c>
      <c r="J161" s="78">
        <f>((I93*(1-'5.Closing Stock &amp; W Capital'!$D$15))+(H93*'5.Closing Stock &amp; W Capital'!$D$15))*$C$152*J$124</f>
        <v>0</v>
      </c>
      <c r="K161" s="71"/>
      <c r="U161" s="71"/>
      <c r="V161" s="71"/>
      <c r="W161" s="71"/>
    </row>
    <row r="162" spans="1:23" ht="15.75" customHeight="1">
      <c r="A162" s="76">
        <f t="shared" si="54"/>
        <v>0</v>
      </c>
      <c r="B162" s="76"/>
      <c r="C162" s="77"/>
      <c r="D162" s="78">
        <f>(C94*(1-'5.Closing Stock &amp; W Capital'!$D$15))*$C162*D$124</f>
        <v>0</v>
      </c>
      <c r="E162" s="78">
        <f>((D94*(1-'5.Closing Stock &amp; W Capital'!$D$15))+(C94*'5.Closing Stock &amp; W Capital'!$D$15))*$C162*E$124</f>
        <v>0</v>
      </c>
      <c r="F162" s="78">
        <f>((E94*(1-'5.Closing Stock &amp; W Capital'!$D$15))+(D94*'5.Closing Stock &amp; W Capital'!$D$15))*$C$152*F$124</f>
        <v>0</v>
      </c>
      <c r="G162" s="78">
        <f>((F94*(1-'5.Closing Stock &amp; W Capital'!$D$15))+(E94*'5.Closing Stock &amp; W Capital'!$D$15))*$C$152*G$124</f>
        <v>0</v>
      </c>
      <c r="H162" s="78">
        <f>((G94*(1-'5.Closing Stock &amp; W Capital'!$D$15))+(F94*'5.Closing Stock &amp; W Capital'!$D$15))*$C$152*H$124</f>
        <v>0</v>
      </c>
      <c r="I162" s="78">
        <f>((H94*(1-'5.Closing Stock &amp; W Capital'!$D$15))+(G94*'5.Closing Stock &amp; W Capital'!$D$15))*$C$152*I$124</f>
        <v>0</v>
      </c>
      <c r="J162" s="78">
        <f>((I94*(1-'5.Closing Stock &amp; W Capital'!$D$15))+(H94*'5.Closing Stock &amp; W Capital'!$D$15))*$C$152*J$124</f>
        <v>0</v>
      </c>
      <c r="K162" s="71"/>
      <c r="U162" s="71"/>
      <c r="V162" s="71"/>
      <c r="W162" s="71"/>
    </row>
    <row r="163" spans="1:23" ht="15.75" customHeight="1">
      <c r="A163" s="76" t="str">
        <f t="shared" si="54"/>
        <v>Onion</v>
      </c>
      <c r="B163" s="76"/>
      <c r="C163" s="77"/>
      <c r="D163" s="78">
        <f>(C95*(1-'5.Closing Stock &amp; W Capital'!$D$15))*$C163*D$124</f>
        <v>0</v>
      </c>
      <c r="E163" s="78">
        <f>((D95*(1-'5.Closing Stock &amp; W Capital'!$D$15))+(C95*'5.Closing Stock &amp; W Capital'!$D$15))*$C163*E$124</f>
        <v>0</v>
      </c>
      <c r="F163" s="78">
        <f>((E95*(1-'5.Closing Stock &amp; W Capital'!$D$15))+(D95*'5.Closing Stock &amp; W Capital'!$D$15))*$C$152*F$124</f>
        <v>0</v>
      </c>
      <c r="G163" s="78">
        <f>((F95*(1-'5.Closing Stock &amp; W Capital'!$D$15))+(E95*'5.Closing Stock &amp; W Capital'!$D$15))*$C$152*G$124</f>
        <v>0</v>
      </c>
      <c r="H163" s="78">
        <f>((G95*(1-'5.Closing Stock &amp; W Capital'!$D$15))+(F95*'5.Closing Stock &amp; W Capital'!$D$15))*$C$152*H$124</f>
        <v>0</v>
      </c>
      <c r="I163" s="78">
        <f>((H95*(1-'5.Closing Stock &amp; W Capital'!$D$15))+(G95*'5.Closing Stock &amp; W Capital'!$D$15))*$C$152*I$124</f>
        <v>0</v>
      </c>
      <c r="J163" s="78">
        <f>((I95*(1-'5.Closing Stock &amp; W Capital'!$D$15))+(H95*'5.Closing Stock &amp; W Capital'!$D$15))*$C$152*J$124</f>
        <v>0</v>
      </c>
      <c r="K163" s="71"/>
      <c r="U163" s="71"/>
      <c r="V163" s="71"/>
      <c r="W163" s="71"/>
    </row>
    <row r="164" spans="1:23" ht="15.75" customHeight="1">
      <c r="A164" s="76" t="str">
        <f t="shared" si="54"/>
        <v>Tomato</v>
      </c>
      <c r="B164" s="76"/>
      <c r="C164" s="77"/>
      <c r="D164" s="78">
        <f>(C96*(1-'5.Closing Stock &amp; W Capital'!$D$15))*$C164*D$124</f>
        <v>0</v>
      </c>
      <c r="E164" s="78">
        <f>((D96*(1-'5.Closing Stock &amp; W Capital'!$D$15))+(C96*'5.Closing Stock &amp; W Capital'!$D$15))*$C164*E$124</f>
        <v>0</v>
      </c>
      <c r="F164" s="78">
        <f>((E96*(1-'5.Closing Stock &amp; W Capital'!$D$15))+(D96*'5.Closing Stock &amp; W Capital'!$D$15))*$C$152*F$124</f>
        <v>0</v>
      </c>
      <c r="G164" s="78">
        <f>((F96*(1-'5.Closing Stock &amp; W Capital'!$D$15))+(E96*'5.Closing Stock &amp; W Capital'!$D$15))*$C$152*G$124</f>
        <v>0</v>
      </c>
      <c r="H164" s="78">
        <f>((G96*(1-'5.Closing Stock &amp; W Capital'!$D$15))+(F96*'5.Closing Stock &amp; W Capital'!$D$15))*$C$152*H$124</f>
        <v>0</v>
      </c>
      <c r="I164" s="78">
        <f>((H96*(1-'5.Closing Stock &amp; W Capital'!$D$15))+(G96*'5.Closing Stock &amp; W Capital'!$D$15))*$C$152*I$124</f>
        <v>0</v>
      </c>
      <c r="J164" s="78">
        <f>((I96*(1-'5.Closing Stock &amp; W Capital'!$D$15))+(H96*'5.Closing Stock &amp; W Capital'!$D$15))*$C$152*J$124</f>
        <v>0</v>
      </c>
      <c r="K164" s="71"/>
      <c r="U164" s="71"/>
      <c r="V164" s="71"/>
      <c r="W164" s="71"/>
    </row>
    <row r="165" spans="1:23" ht="15.75" customHeight="1">
      <c r="A165" s="76" t="str">
        <f t="shared" si="54"/>
        <v>Okra</v>
      </c>
      <c r="B165" s="76"/>
      <c r="C165" s="77"/>
      <c r="D165" s="78">
        <f>(C97*(1-'5.Closing Stock &amp; W Capital'!$D$15))*$C165*D$124</f>
        <v>0</v>
      </c>
      <c r="E165" s="78">
        <f>((D97*(1-'5.Closing Stock &amp; W Capital'!$D$15))+(C97*'5.Closing Stock &amp; W Capital'!$D$15))*$C165*E$124</f>
        <v>0</v>
      </c>
      <c r="F165" s="78">
        <f>((E97*(1-'5.Closing Stock &amp; W Capital'!$D$15))+(D97*'5.Closing Stock &amp; W Capital'!$D$15))*$C$152*F$124</f>
        <v>0</v>
      </c>
      <c r="G165" s="78">
        <f>((F97*(1-'5.Closing Stock &amp; W Capital'!$D$15))+(E97*'5.Closing Stock &amp; W Capital'!$D$15))*$C$152*G$124</f>
        <v>0</v>
      </c>
      <c r="H165" s="78">
        <f>((G97*(1-'5.Closing Stock &amp; W Capital'!$D$15))+(F97*'5.Closing Stock &amp; W Capital'!$D$15))*$C$152*H$124</f>
        <v>0</v>
      </c>
      <c r="I165" s="78">
        <f>((H97*(1-'5.Closing Stock &amp; W Capital'!$D$15))+(G97*'5.Closing Stock &amp; W Capital'!$D$15))*$C$152*I$124</f>
        <v>0</v>
      </c>
      <c r="J165" s="78">
        <f>((I97*(1-'5.Closing Stock &amp; W Capital'!$D$15))+(H97*'5.Closing Stock &amp; W Capital'!$D$15))*$C$152*J$124</f>
        <v>0</v>
      </c>
      <c r="K165" s="71"/>
      <c r="U165" s="71"/>
      <c r="V165" s="71"/>
      <c r="W165" s="71"/>
    </row>
    <row r="166" spans="1:23" ht="15.75" customHeight="1">
      <c r="A166" s="76" t="str">
        <f t="shared" si="54"/>
        <v>Chilli</v>
      </c>
      <c r="B166" s="76"/>
      <c r="C166" s="77"/>
      <c r="D166" s="78">
        <f>(C98*(1-'5.Closing Stock &amp; W Capital'!$D$15))*$C166*D$124</f>
        <v>0</v>
      </c>
      <c r="E166" s="78">
        <f>((D98*(1-'5.Closing Stock &amp; W Capital'!$D$15))+(C98*'5.Closing Stock &amp; W Capital'!$D$15))*$C166*E$124</f>
        <v>0</v>
      </c>
      <c r="F166" s="78">
        <f>((E98*(1-'5.Closing Stock &amp; W Capital'!$D$15))+(D98*'5.Closing Stock &amp; W Capital'!$D$15))*$C$152*F$124</f>
        <v>0</v>
      </c>
      <c r="G166" s="78">
        <f>((F98*(1-'5.Closing Stock &amp; W Capital'!$D$15))+(E98*'5.Closing Stock &amp; W Capital'!$D$15))*$C$152*G$124</f>
        <v>0</v>
      </c>
      <c r="H166" s="78">
        <f>((G98*(1-'5.Closing Stock &amp; W Capital'!$D$15))+(F98*'5.Closing Stock &amp; W Capital'!$D$15))*$C$152*H$124</f>
        <v>0</v>
      </c>
      <c r="I166" s="78">
        <f>((H98*(1-'5.Closing Stock &amp; W Capital'!$D$15))+(G98*'5.Closing Stock &amp; W Capital'!$D$15))*$C$152*I$124</f>
        <v>0</v>
      </c>
      <c r="J166" s="78">
        <f>((I98*(1-'5.Closing Stock &amp; W Capital'!$D$15))+(H98*'5.Closing Stock &amp; W Capital'!$D$15))*$C$152*J$124</f>
        <v>0</v>
      </c>
      <c r="K166" s="71"/>
      <c r="U166" s="71"/>
      <c r="V166" s="71"/>
      <c r="W166" s="71"/>
    </row>
    <row r="167" spans="1:23" ht="15.75" customHeight="1">
      <c r="A167" s="76" t="str">
        <f t="shared" si="54"/>
        <v>Brinjal</v>
      </c>
      <c r="B167" s="76"/>
      <c r="C167" s="77"/>
      <c r="D167" s="78">
        <f>(C99*(1-'5.Closing Stock &amp; W Capital'!$D$15))*$C167*D$124</f>
        <v>0</v>
      </c>
      <c r="E167" s="78">
        <f>((D99*(1-'5.Closing Stock &amp; W Capital'!$D$15))+(C99*'5.Closing Stock &amp; W Capital'!$D$15))*$C167*E$124</f>
        <v>0</v>
      </c>
      <c r="F167" s="78">
        <f>((E99*(1-'5.Closing Stock &amp; W Capital'!$D$15))+(D99*'5.Closing Stock &amp; W Capital'!$D$15))*$C$152*F$124</f>
        <v>0</v>
      </c>
      <c r="G167" s="78">
        <f>((F99*(1-'5.Closing Stock &amp; W Capital'!$D$15))+(E99*'5.Closing Stock &amp; W Capital'!$D$15))*$C$152*G$124</f>
        <v>0</v>
      </c>
      <c r="H167" s="78">
        <f>((G99*(1-'5.Closing Stock &amp; W Capital'!$D$15))+(F99*'5.Closing Stock &amp; W Capital'!$D$15))*$C$152*H$124</f>
        <v>0</v>
      </c>
      <c r="I167" s="78">
        <f>((H99*(1-'5.Closing Stock &amp; W Capital'!$D$15))+(G99*'5.Closing Stock &amp; W Capital'!$D$15))*$C$152*I$124</f>
        <v>0</v>
      </c>
      <c r="J167" s="78">
        <f>((I99*(1-'5.Closing Stock &amp; W Capital'!$D$15))+(H99*'5.Closing Stock &amp; W Capital'!$D$15))*$C$152*J$124</f>
        <v>0</v>
      </c>
      <c r="K167" s="71"/>
      <c r="U167" s="71"/>
      <c r="V167" s="71"/>
      <c r="W167" s="71"/>
    </row>
    <row r="168" spans="1:23" ht="15.75" customHeight="1">
      <c r="A168" s="76">
        <f t="shared" si="54"/>
        <v>0</v>
      </c>
      <c r="B168" s="76"/>
      <c r="C168" s="77"/>
      <c r="D168" s="78">
        <f>(C100*(1-'5.Closing Stock &amp; W Capital'!$D$15))*$C168*D$124</f>
        <v>0</v>
      </c>
      <c r="E168" s="78">
        <f>((D100*(1-'5.Closing Stock &amp; W Capital'!$D$15))+(C100*'5.Closing Stock &amp; W Capital'!$D$15))*$C168*E$124</f>
        <v>0</v>
      </c>
      <c r="F168" s="78">
        <f>((E100*(1-'5.Closing Stock &amp; W Capital'!$D$15))+(D100*'5.Closing Stock &amp; W Capital'!$D$15))*$C$152*F$124</f>
        <v>0</v>
      </c>
      <c r="G168" s="78">
        <f>((F100*(1-'5.Closing Stock &amp; W Capital'!$D$15))+(E100*'5.Closing Stock &amp; W Capital'!$D$15))*$C$152*G$124</f>
        <v>0</v>
      </c>
      <c r="H168" s="78">
        <f>((G100*(1-'5.Closing Stock &amp; W Capital'!$D$15))+(F100*'5.Closing Stock &amp; W Capital'!$D$15))*$C$152*H$124</f>
        <v>0</v>
      </c>
      <c r="I168" s="78">
        <f>((H100*(1-'5.Closing Stock &amp; W Capital'!$D$15))+(G100*'5.Closing Stock &amp; W Capital'!$D$15))*$C$152*I$124</f>
        <v>0</v>
      </c>
      <c r="J168" s="78">
        <f>((I100*(1-'5.Closing Stock &amp; W Capital'!$D$15))+(H100*'5.Closing Stock &amp; W Capital'!$D$15))*$C$152*J$124</f>
        <v>0</v>
      </c>
      <c r="K168" s="71"/>
      <c r="U168" s="71"/>
      <c r="V168" s="71"/>
      <c r="W168" s="71"/>
    </row>
    <row r="169" spans="1:23" ht="15.75" customHeight="1">
      <c r="A169" s="76">
        <f t="shared" si="54"/>
        <v>0</v>
      </c>
      <c r="B169" s="76"/>
      <c r="C169" s="77"/>
      <c r="D169" s="78">
        <f>(C101*(1-'5.Closing Stock &amp; W Capital'!$D$15))*$C169*D$124</f>
        <v>0</v>
      </c>
      <c r="E169" s="78">
        <f>((D101*(1-'5.Closing Stock &amp; W Capital'!$D$15))+(C101*'5.Closing Stock &amp; W Capital'!$D$15))*$C169*E$124</f>
        <v>0</v>
      </c>
      <c r="F169" s="78">
        <f>((E101*(1-'5.Closing Stock &amp; W Capital'!$D$15))+(D101*'5.Closing Stock &amp; W Capital'!$D$15))*$C$152*F$124</f>
        <v>0</v>
      </c>
      <c r="G169" s="78">
        <f>((F101*(1-'5.Closing Stock &amp; W Capital'!$D$15))+(E101*'5.Closing Stock &amp; W Capital'!$D$15))*$C$152*G$124</f>
        <v>0</v>
      </c>
      <c r="H169" s="78">
        <f>((G101*(1-'5.Closing Stock &amp; W Capital'!$D$15))+(F101*'5.Closing Stock &amp; W Capital'!$D$15))*$C$152*H$124</f>
        <v>0</v>
      </c>
      <c r="I169" s="78">
        <f>((H101*(1-'5.Closing Stock &amp; W Capital'!$D$15))+(G101*'5.Closing Stock &amp; W Capital'!$D$15))*$C$152*I$124</f>
        <v>0</v>
      </c>
      <c r="J169" s="78">
        <f>((I101*(1-'5.Closing Stock &amp; W Capital'!$D$15))+(H101*'5.Closing Stock &amp; W Capital'!$D$15))*$C$152*J$124</f>
        <v>0</v>
      </c>
      <c r="K169" s="71"/>
      <c r="U169" s="71"/>
      <c r="V169" s="71"/>
      <c r="W169" s="71"/>
    </row>
    <row r="170" spans="1:23" ht="15.75" customHeight="1">
      <c r="A170" s="76">
        <f t="shared" si="54"/>
        <v>0</v>
      </c>
      <c r="B170" s="76"/>
      <c r="C170" s="77"/>
      <c r="D170" s="78">
        <f>(C102*(1-'5.Closing Stock &amp; W Capital'!$D$15))*$C170*D$124</f>
        <v>0</v>
      </c>
      <c r="E170" s="78">
        <f>((D102*(1-'5.Closing Stock &amp; W Capital'!$D$15))+(C102*'5.Closing Stock &amp; W Capital'!$D$15))*$C170*E$124</f>
        <v>0</v>
      </c>
      <c r="F170" s="78">
        <f>((E102*(1-'5.Closing Stock &amp; W Capital'!$D$15))+(D102*'5.Closing Stock &amp; W Capital'!$D$15))*$C$152*F$124</f>
        <v>0</v>
      </c>
      <c r="G170" s="78">
        <f>((F102*(1-'5.Closing Stock &amp; W Capital'!$D$15))+(E102*'5.Closing Stock &amp; W Capital'!$D$15))*$C$152*G$124</f>
        <v>0</v>
      </c>
      <c r="H170" s="78">
        <f>((G102*(1-'5.Closing Stock &amp; W Capital'!$D$15))+(F102*'5.Closing Stock &amp; W Capital'!$D$15))*$C$152*H$124</f>
        <v>0</v>
      </c>
      <c r="I170" s="78">
        <f>((H102*(1-'5.Closing Stock &amp; W Capital'!$D$15))+(G102*'5.Closing Stock &amp; W Capital'!$D$15))*$C$152*I$124</f>
        <v>0</v>
      </c>
      <c r="J170" s="78">
        <f>((I102*(1-'5.Closing Stock &amp; W Capital'!$D$15))+(H102*'5.Closing Stock &amp; W Capital'!$D$15))*$C$152*J$124</f>
        <v>0</v>
      </c>
      <c r="K170" s="71"/>
      <c r="U170" s="71"/>
      <c r="V170" s="71"/>
      <c r="W170" s="71"/>
    </row>
    <row r="171" spans="1:23" ht="15.75" customHeight="1">
      <c r="A171" s="76">
        <f t="shared" si="54"/>
        <v>0</v>
      </c>
      <c r="B171" s="76"/>
      <c r="C171" s="77"/>
      <c r="D171" s="78">
        <f>(C103*(1-'5.Closing Stock &amp; W Capital'!$D$15))*$C171*D$124</f>
        <v>0</v>
      </c>
      <c r="E171" s="78">
        <f>((D103*(1-'5.Closing Stock &amp; W Capital'!$D$15))+(C103*'5.Closing Stock &amp; W Capital'!$D$15))*$C171*E$124</f>
        <v>0</v>
      </c>
      <c r="F171" s="78">
        <f>((E103*(1-'5.Closing Stock &amp; W Capital'!$D$15))+(D103*'5.Closing Stock &amp; W Capital'!$D$15))*$C$152*F$124</f>
        <v>0</v>
      </c>
      <c r="G171" s="78">
        <f>((F103*(1-'5.Closing Stock &amp; W Capital'!$D$15))+(E103*'5.Closing Stock &amp; W Capital'!$D$15))*$C$152*G$124</f>
        <v>0</v>
      </c>
      <c r="H171" s="78">
        <f>((G103*(1-'5.Closing Stock &amp; W Capital'!$D$15))+(F103*'5.Closing Stock &amp; W Capital'!$D$15))*$C$152*H$124</f>
        <v>0</v>
      </c>
      <c r="I171" s="78">
        <f>((H103*(1-'5.Closing Stock &amp; W Capital'!$D$15))+(G103*'5.Closing Stock &amp; W Capital'!$D$15))*$C$152*I$124</f>
        <v>0</v>
      </c>
      <c r="J171" s="78">
        <f>((I103*(1-'5.Closing Stock &amp; W Capital'!$D$15))+(H103*'5.Closing Stock &amp; W Capital'!$D$15))*$C$152*J$124</f>
        <v>0</v>
      </c>
      <c r="K171" s="71"/>
      <c r="U171" s="71"/>
      <c r="V171" s="71"/>
      <c r="W171" s="71"/>
    </row>
    <row r="172" spans="1:23" ht="15.75" customHeight="1">
      <c r="A172" s="76">
        <f t="shared" si="54"/>
        <v>0</v>
      </c>
      <c r="B172" s="76"/>
      <c r="C172" s="77"/>
      <c r="D172" s="78">
        <f>(C104*(1-'5.Closing Stock &amp; W Capital'!$D$15))*$C172*D$124</f>
        <v>0</v>
      </c>
      <c r="E172" s="78">
        <f>((D104*(1-'5.Closing Stock &amp; W Capital'!$D$15))+(C104*'5.Closing Stock &amp; W Capital'!$D$15))*$C172*E$124</f>
        <v>0</v>
      </c>
      <c r="F172" s="78">
        <f>((E104*(1-'5.Closing Stock &amp; W Capital'!$D$15))+(D104*'5.Closing Stock &amp; W Capital'!$D$15))*$C$152*F$124</f>
        <v>0</v>
      </c>
      <c r="G172" s="78">
        <f>((F104*(1-'5.Closing Stock &amp; W Capital'!$D$15))+(E104*'5.Closing Stock &amp; W Capital'!$D$15))*$C$152*G$124</f>
        <v>0</v>
      </c>
      <c r="H172" s="78">
        <f>((G104*(1-'5.Closing Stock &amp; W Capital'!$D$15))+(F104*'5.Closing Stock &amp; W Capital'!$D$15))*$C$152*H$124</f>
        <v>0</v>
      </c>
      <c r="I172" s="78">
        <f>((H104*(1-'5.Closing Stock &amp; W Capital'!$D$15))+(G104*'5.Closing Stock &amp; W Capital'!$D$15))*$C$152*I$124</f>
        <v>0</v>
      </c>
      <c r="J172" s="78">
        <f>((I104*(1-'5.Closing Stock &amp; W Capital'!$D$15))+(H104*'5.Closing Stock &amp; W Capital'!$D$15))*$C$152*J$124</f>
        <v>0</v>
      </c>
      <c r="K172" s="71"/>
      <c r="U172" s="71"/>
      <c r="V172" s="71"/>
      <c r="W172" s="71"/>
    </row>
    <row r="173" spans="1:23" ht="15.75" customHeight="1">
      <c r="A173" s="76">
        <f t="shared" si="54"/>
        <v>0</v>
      </c>
      <c r="B173" s="76"/>
      <c r="C173" s="77"/>
      <c r="D173" s="78">
        <f>(C105*(1-'5.Closing Stock &amp; W Capital'!$D$15))*$C173*D$124</f>
        <v>0</v>
      </c>
      <c r="E173" s="78">
        <f>((D105*(1-'5.Closing Stock &amp; W Capital'!$D$15))+(C105*'5.Closing Stock &amp; W Capital'!$D$15))*$C173*E$124</f>
        <v>0</v>
      </c>
      <c r="F173" s="78">
        <f>((E105*(1-'5.Closing Stock &amp; W Capital'!$D$15))+(D105*'5.Closing Stock &amp; W Capital'!$D$15))*$C$152*F$124</f>
        <v>0</v>
      </c>
      <c r="G173" s="78">
        <f>((F105*(1-'5.Closing Stock &amp; W Capital'!$D$15))+(E105*'5.Closing Stock &amp; W Capital'!$D$15))*$C$152*G$124</f>
        <v>0</v>
      </c>
      <c r="H173" s="78">
        <f>((G105*(1-'5.Closing Stock &amp; W Capital'!$D$15))+(F105*'5.Closing Stock &amp; W Capital'!$D$15))*$C$152*H$124</f>
        <v>0</v>
      </c>
      <c r="I173" s="78">
        <f>((H105*(1-'5.Closing Stock &amp; W Capital'!$D$15))+(G105*'5.Closing Stock &amp; W Capital'!$D$15))*$C$152*I$124</f>
        <v>0</v>
      </c>
      <c r="J173" s="78">
        <f>((I105*(1-'5.Closing Stock &amp; W Capital'!$D$15))+(H105*'5.Closing Stock &amp; W Capital'!$D$15))*$C$152*J$124</f>
        <v>0</v>
      </c>
      <c r="K173" s="71"/>
      <c r="U173" s="71"/>
      <c r="V173" s="71"/>
      <c r="W173" s="71"/>
    </row>
    <row r="174" spans="1:23" ht="15.75" customHeight="1">
      <c r="A174" s="76">
        <f t="shared" si="54"/>
        <v>0</v>
      </c>
      <c r="B174" s="76"/>
      <c r="C174" s="77"/>
      <c r="D174" s="78">
        <f>(C106*(1-'5.Closing Stock &amp; W Capital'!$D$15))*$C174*D$124</f>
        <v>0</v>
      </c>
      <c r="E174" s="78">
        <f>((D106*(1-'5.Closing Stock &amp; W Capital'!$D$15))+(C106*'5.Closing Stock &amp; W Capital'!$D$15))*$C174*E$124</f>
        <v>0</v>
      </c>
      <c r="F174" s="78">
        <f>((E106*(1-'5.Closing Stock &amp; W Capital'!$D$15))+(D106*'5.Closing Stock &amp; W Capital'!$D$15))*$C$152*F$124</f>
        <v>0</v>
      </c>
      <c r="G174" s="78">
        <f>((F106*(1-'5.Closing Stock &amp; W Capital'!$D$15))+(E106*'5.Closing Stock &amp; W Capital'!$D$15))*$C$152*G$124</f>
        <v>0</v>
      </c>
      <c r="H174" s="78">
        <f>((G106*(1-'5.Closing Stock &amp; W Capital'!$D$15))+(F106*'5.Closing Stock &amp; W Capital'!$D$15))*$C$152*H$124</f>
        <v>0</v>
      </c>
      <c r="I174" s="78">
        <f>((H106*(1-'5.Closing Stock &amp; W Capital'!$D$15))+(G106*'5.Closing Stock &amp; W Capital'!$D$15))*$C$152*I$124</f>
        <v>0</v>
      </c>
      <c r="J174" s="78">
        <f>((I106*(1-'5.Closing Stock &amp; W Capital'!$D$15))+(H106*'5.Closing Stock &amp; W Capital'!$D$15))*$C$152*J$124</f>
        <v>0</v>
      </c>
      <c r="K174" s="71"/>
      <c r="U174" s="71"/>
      <c r="V174" s="71"/>
      <c r="W174" s="71"/>
    </row>
    <row r="175" spans="1:23" ht="15.75" customHeight="1">
      <c r="A175" s="76" t="str">
        <f t="shared" si="54"/>
        <v>Pomegranate</v>
      </c>
      <c r="B175" s="76"/>
      <c r="C175" s="77"/>
      <c r="D175" s="78">
        <f>(C107*(1-'5.Closing Stock &amp; W Capital'!$D$15))*$C175*D$124</f>
        <v>0</v>
      </c>
      <c r="E175" s="78">
        <f>((D107*(1-'5.Closing Stock &amp; W Capital'!$D$15))+(C107*'5.Closing Stock &amp; W Capital'!$D$15))*$C175*E$124</f>
        <v>0</v>
      </c>
      <c r="F175" s="78">
        <f>((E107*(1-'5.Closing Stock &amp; W Capital'!$D$15))+(D107*'5.Closing Stock &amp; W Capital'!$D$15))*$C$152*F$124</f>
        <v>0</v>
      </c>
      <c r="G175" s="78">
        <f>((F107*(1-'5.Closing Stock &amp; W Capital'!$D$15))+(E107*'5.Closing Stock &amp; W Capital'!$D$15))*$C$152*G$124</f>
        <v>0</v>
      </c>
      <c r="H175" s="78">
        <f>((G107*(1-'5.Closing Stock &amp; W Capital'!$D$15))+(F107*'5.Closing Stock &amp; W Capital'!$D$15))*$C$152*H$124</f>
        <v>0</v>
      </c>
      <c r="I175" s="78">
        <f>((H107*(1-'5.Closing Stock &amp; W Capital'!$D$15))+(G107*'5.Closing Stock &amp; W Capital'!$D$15))*$C$152*I$124</f>
        <v>0</v>
      </c>
      <c r="J175" s="78">
        <f>((I107*(1-'5.Closing Stock &amp; W Capital'!$D$15))+(H107*'5.Closing Stock &amp; W Capital'!$D$15))*$C$152*J$124</f>
        <v>0</v>
      </c>
      <c r="K175" s="71"/>
      <c r="U175" s="71"/>
      <c r="V175" s="71"/>
      <c r="W175" s="71"/>
    </row>
    <row r="176" spans="1:23" ht="15.75" customHeight="1">
      <c r="A176" s="76" t="str">
        <f t="shared" si="54"/>
        <v>Custard Apple</v>
      </c>
      <c r="B176" s="76"/>
      <c r="C176" s="77"/>
      <c r="D176" s="78">
        <f>(C108*(1-'5.Closing Stock &amp; W Capital'!$D$15))*$C176*D$124</f>
        <v>0</v>
      </c>
      <c r="E176" s="78">
        <f>((D108*(1-'5.Closing Stock &amp; W Capital'!$D$15))+(C108*'5.Closing Stock &amp; W Capital'!$D$15))*$C176*E$124</f>
        <v>0</v>
      </c>
      <c r="F176" s="78">
        <f>((E108*(1-'5.Closing Stock &amp; W Capital'!$D$15))+(D108*'5.Closing Stock &amp; W Capital'!$D$15))*$C$152*F$124</f>
        <v>0</v>
      </c>
      <c r="G176" s="78">
        <f>((F108*(1-'5.Closing Stock &amp; W Capital'!$D$15))+(E108*'5.Closing Stock &amp; W Capital'!$D$15))*$C$152*G$124</f>
        <v>0</v>
      </c>
      <c r="H176" s="78">
        <f>((G108*(1-'5.Closing Stock &amp; W Capital'!$D$15))+(F108*'5.Closing Stock &amp; W Capital'!$D$15))*$C$152*H$124</f>
        <v>0</v>
      </c>
      <c r="I176" s="78">
        <f>((H108*(1-'5.Closing Stock &amp; W Capital'!$D$15))+(G108*'5.Closing Stock &amp; W Capital'!$D$15))*$C$152*I$124</f>
        <v>0</v>
      </c>
      <c r="J176" s="78">
        <f>((I108*(1-'5.Closing Stock &amp; W Capital'!$D$15))+(H108*'5.Closing Stock &amp; W Capital'!$D$15))*$C$152*J$124</f>
        <v>0</v>
      </c>
      <c r="K176" s="71"/>
      <c r="U176" s="71"/>
      <c r="V176" s="71"/>
      <c r="W176" s="71"/>
    </row>
    <row r="177" spans="1:23" ht="15.75" customHeight="1">
      <c r="A177" s="76" t="str">
        <f t="shared" si="54"/>
        <v>Guava</v>
      </c>
      <c r="B177" s="76"/>
      <c r="C177" s="77"/>
      <c r="D177" s="78">
        <f>(C109*(1-'5.Closing Stock &amp; W Capital'!$D$15))*$C177*D$124</f>
        <v>0</v>
      </c>
      <c r="E177" s="78">
        <f>((D109*(1-'5.Closing Stock &amp; W Capital'!$D$15))+(C109*'5.Closing Stock &amp; W Capital'!$D$15))*$C177*E$124</f>
        <v>0</v>
      </c>
      <c r="F177" s="78">
        <f>((E109*(1-'5.Closing Stock &amp; W Capital'!$D$15))+(D109*'5.Closing Stock &amp; W Capital'!$D$15))*$C$152*F$124</f>
        <v>0</v>
      </c>
      <c r="G177" s="78">
        <f>((F109*(1-'5.Closing Stock &amp; W Capital'!$D$15))+(E109*'5.Closing Stock &amp; W Capital'!$D$15))*$C$152*G$124</f>
        <v>0</v>
      </c>
      <c r="H177" s="78">
        <f>((G109*(1-'5.Closing Stock &amp; W Capital'!$D$15))+(F109*'5.Closing Stock &amp; W Capital'!$D$15))*$C$152*H$124</f>
        <v>0</v>
      </c>
      <c r="I177" s="78">
        <f>((H109*(1-'5.Closing Stock &amp; W Capital'!$D$15))+(G109*'5.Closing Stock &amp; W Capital'!$D$15))*$C$152*I$124</f>
        <v>0</v>
      </c>
      <c r="J177" s="78">
        <f>((I109*(1-'5.Closing Stock &amp; W Capital'!$D$15))+(H109*'5.Closing Stock &amp; W Capital'!$D$15))*$C$152*J$124</f>
        <v>0</v>
      </c>
      <c r="K177" s="71"/>
      <c r="U177" s="71"/>
      <c r="V177" s="71"/>
      <c r="W177" s="71"/>
    </row>
    <row r="178" spans="1:23" ht="15.75" customHeight="1">
      <c r="A178" s="76" t="str">
        <f t="shared" si="54"/>
        <v>Citrus</v>
      </c>
      <c r="B178" s="76"/>
      <c r="C178" s="77"/>
      <c r="D178" s="78">
        <f>(C110*(1-'5.Closing Stock &amp; W Capital'!$D$15))*$C178*D$124</f>
        <v>0</v>
      </c>
      <c r="E178" s="78">
        <f>((D110*(1-'5.Closing Stock &amp; W Capital'!$D$15))+(C110*'5.Closing Stock &amp; W Capital'!$D$15))*$C178*E$124</f>
        <v>0</v>
      </c>
      <c r="F178" s="78">
        <f>((E110*(1-'5.Closing Stock &amp; W Capital'!$D$15))+(D110*'5.Closing Stock &amp; W Capital'!$D$15))*$C$152*F$124</f>
        <v>0</v>
      </c>
      <c r="G178" s="78">
        <f>((F110*(1-'5.Closing Stock &amp; W Capital'!$D$15))+(E110*'5.Closing Stock &amp; W Capital'!$D$15))*$C$152*G$124</f>
        <v>0</v>
      </c>
      <c r="H178" s="78">
        <f>((G110*(1-'5.Closing Stock &amp; W Capital'!$D$15))+(F110*'5.Closing Stock &amp; W Capital'!$D$15))*$C$152*H$124</f>
        <v>0</v>
      </c>
      <c r="I178" s="78">
        <f>((H110*(1-'5.Closing Stock &amp; W Capital'!$D$15))+(G110*'5.Closing Stock &amp; W Capital'!$D$15))*$C$152*I$124</f>
        <v>0</v>
      </c>
      <c r="J178" s="78">
        <f>((I110*(1-'5.Closing Stock &amp; W Capital'!$D$15))+(H110*'5.Closing Stock &amp; W Capital'!$D$15))*$C$152*J$124</f>
        <v>0</v>
      </c>
      <c r="K178" s="71"/>
      <c r="U178" s="71"/>
      <c r="V178" s="71"/>
      <c r="W178" s="71"/>
    </row>
    <row r="179" spans="1:23" ht="15.75" customHeight="1">
      <c r="A179" s="76">
        <f t="shared" si="54"/>
        <v>0</v>
      </c>
      <c r="B179" s="76"/>
      <c r="C179" s="77"/>
      <c r="D179" s="78"/>
      <c r="E179" s="78"/>
      <c r="F179" s="78"/>
      <c r="G179" s="78"/>
      <c r="H179" s="78"/>
      <c r="I179" s="78"/>
      <c r="J179" s="78"/>
      <c r="K179" s="71"/>
      <c r="U179" s="71"/>
      <c r="V179" s="71"/>
      <c r="W179" s="71"/>
    </row>
    <row r="180" spans="1:23" ht="15.75" customHeight="1">
      <c r="A180" s="76"/>
      <c r="B180" s="76"/>
      <c r="C180" s="78"/>
      <c r="D180" s="78"/>
      <c r="E180" s="78"/>
      <c r="F180" s="78"/>
      <c r="G180" s="78"/>
      <c r="H180" s="78"/>
      <c r="I180" s="78"/>
      <c r="J180" s="78"/>
      <c r="K180" s="71"/>
      <c r="U180" s="71"/>
      <c r="V180" s="71"/>
      <c r="W180" s="71"/>
    </row>
    <row r="181" spans="1:23" ht="15.75" customHeight="1">
      <c r="A181" s="76" t="s">
        <v>677</v>
      </c>
      <c r="B181" s="76"/>
      <c r="C181" s="78"/>
      <c r="D181" s="78"/>
      <c r="E181" s="78"/>
      <c r="F181" s="78"/>
      <c r="G181" s="78"/>
      <c r="H181" s="78"/>
      <c r="I181" s="78"/>
      <c r="J181" s="78"/>
      <c r="K181" s="71"/>
      <c r="U181" s="71"/>
      <c r="V181" s="71"/>
      <c r="W181" s="71"/>
    </row>
    <row r="182" spans="1:23" ht="15.75" customHeight="1">
      <c r="A182" s="76" t="s">
        <v>669</v>
      </c>
      <c r="B182" s="76"/>
      <c r="C182" s="77">
        <f>350/50</f>
        <v>7</v>
      </c>
      <c r="D182" s="78">
        <f>(C114*(1-'5.Closing Stock &amp; W Capital'!$D$15))*$C$182*D124</f>
        <v>1945125</v>
      </c>
      <c r="E182" s="78">
        <f>((D114*(1-'5.Closing Stock &amp; W Capital'!$D$15))+(C114*'5.Closing Stock &amp; W Capital'!$D$15))*$C$182*E124</f>
        <v>2306981.2500000005</v>
      </c>
      <c r="F182" s="78">
        <f>((E114*(1-'5.Closing Stock &amp; W Capital'!$D$15))+(D114*'5.Closing Stock &amp; W Capital'!$D$15))*$C$182*F124</f>
        <v>2595974.0625000005</v>
      </c>
      <c r="G182" s="78">
        <f>((F114*(1-'5.Closing Stock &amp; W Capital'!$D$15))+(E114*'5.Closing Stock &amp; W Capital'!$D$15))*$C$182*G124</f>
        <v>2908098.7031250014</v>
      </c>
      <c r="H182" s="78">
        <f>((G114*(1-'5.Closing Stock &amp; W Capital'!$D$15))+(F114*'5.Closing Stock &amp; W Capital'!$D$15))*$C$182*H124</f>
        <v>3244945.8726562518</v>
      </c>
      <c r="I182" s="78">
        <f>((H114*(1-'5.Closing Stock &amp; W Capital'!$D$15))+(G114*'5.Closing Stock &amp; W Capital'!$D$15))*$C$182*I124</f>
        <v>3608207.5123828147</v>
      </c>
      <c r="J182" s="78">
        <f>((I114*(1-'5.Closing Stock &amp; W Capital'!$D$15))+(H114*'5.Closing Stock &amp; W Capital'!$D$15))*$C$182*J124</f>
        <v>3999682.9514003936</v>
      </c>
      <c r="K182" s="71"/>
      <c r="U182" s="71"/>
      <c r="V182" s="71"/>
      <c r="W182" s="71"/>
    </row>
    <row r="183" spans="1:23" ht="15.75" customHeight="1">
      <c r="A183" s="76" t="s">
        <v>670</v>
      </c>
      <c r="B183" s="76"/>
      <c r="C183" s="77">
        <v>8</v>
      </c>
      <c r="D183" s="78">
        <f>(C115*(1-'5.Closing Stock &amp; W Capital'!$D$15))*$C$183*D124</f>
        <v>666900</v>
      </c>
      <c r="E183" s="78">
        <f>((D115*(1-'5.Closing Stock &amp; W Capital'!$D$15))+(C115*'5.Closing Stock &amp; W Capital'!$D$15))*$C$183*E124</f>
        <v>790965.00000000012</v>
      </c>
      <c r="F183" s="78">
        <f>((E115*(1-'5.Closing Stock &amp; W Capital'!$D$15))+(D115*'5.Closing Stock &amp; W Capital'!$D$15))*$C$183*F124</f>
        <v>890048.25000000012</v>
      </c>
      <c r="G183" s="78">
        <f>((F115*(1-'5.Closing Stock &amp; W Capital'!$D$15))+(E115*'5.Closing Stock &amp; W Capital'!$D$15))*$C$183*G124</f>
        <v>997062.41250000033</v>
      </c>
      <c r="H183" s="78">
        <f>((G115*(1-'5.Closing Stock &amp; W Capital'!$D$15))+(F115*'5.Closing Stock &amp; W Capital'!$D$15))*$C$183*H124</f>
        <v>1112552.8706250004</v>
      </c>
      <c r="I183" s="78">
        <f>((H115*(1-'5.Closing Stock &amp; W Capital'!$D$15))+(G115*'5.Closing Stock &amp; W Capital'!$D$15))*$C$183*I124</f>
        <v>1237099.7185312507</v>
      </c>
      <c r="J183" s="78">
        <f>((I115*(1-'5.Closing Stock &amp; W Capital'!$D$15))+(H115*'5.Closing Stock &amp; W Capital'!$D$15))*$C$183*J124</f>
        <v>1371319.8690515633</v>
      </c>
      <c r="K183" s="71"/>
      <c r="U183" s="71"/>
      <c r="V183" s="71"/>
      <c r="W183" s="71"/>
    </row>
    <row r="184" spans="1:23" ht="15.75" customHeight="1">
      <c r="A184" s="76" t="s">
        <v>671</v>
      </c>
      <c r="B184" s="76"/>
      <c r="C184" s="77">
        <v>30</v>
      </c>
      <c r="D184" s="78">
        <f>(C116*(1-'5.Closing Stock &amp; W Capital'!$D$15))*$C$184*D124</f>
        <v>2500875</v>
      </c>
      <c r="E184" s="78">
        <f>((D116*(1-'5.Closing Stock &amp; W Capital'!$D$15))+(C116*'5.Closing Stock &amp; W Capital'!$D$15))*$C$184*E124</f>
        <v>2966118.7500000005</v>
      </c>
      <c r="F184" s="78">
        <f>((E116*(1-'5.Closing Stock &amp; W Capital'!$D$15))+(D116*'5.Closing Stock &amp; W Capital'!$D$15))*$C$184*F124</f>
        <v>3337680.9375000005</v>
      </c>
      <c r="G184" s="78">
        <f>((F116*(1-'5.Closing Stock &amp; W Capital'!$D$15))+(E116*'5.Closing Stock &amp; W Capital'!$D$15))*$C$184*G124</f>
        <v>3738984.0468750014</v>
      </c>
      <c r="H184" s="78">
        <f>((G116*(1-'5.Closing Stock &amp; W Capital'!$D$15))+(F116*'5.Closing Stock &amp; W Capital'!$D$15))*$C$184*H124</f>
        <v>4172073.2648437521</v>
      </c>
      <c r="I184" s="78">
        <f>((H116*(1-'5.Closing Stock &amp; W Capital'!$D$15))+(G116*'5.Closing Stock &amp; W Capital'!$D$15))*$C$184*I124</f>
        <v>4639123.9444921901</v>
      </c>
      <c r="J184" s="78">
        <f>((I116*(1-'5.Closing Stock &amp; W Capital'!$D$15))+(H116*'5.Closing Stock &amp; W Capital'!$D$15))*$C$184*J124</f>
        <v>5142449.5089433631</v>
      </c>
      <c r="K184" s="71"/>
      <c r="U184" s="71"/>
      <c r="V184" s="71"/>
      <c r="W184" s="71"/>
    </row>
    <row r="185" spans="1:23" ht="15.75" customHeight="1">
      <c r="A185" s="76"/>
      <c r="B185" s="76"/>
      <c r="C185" s="78"/>
      <c r="D185" s="78"/>
      <c r="E185" s="78"/>
      <c r="F185" s="78"/>
      <c r="G185" s="78"/>
      <c r="H185" s="78"/>
      <c r="I185" s="78"/>
      <c r="J185" s="78"/>
      <c r="K185" s="71"/>
      <c r="U185" s="71"/>
      <c r="V185" s="71"/>
      <c r="W185" s="71"/>
    </row>
    <row r="186" spans="1:23" ht="15.75" customHeight="1">
      <c r="A186" s="76" t="s">
        <v>672</v>
      </c>
      <c r="B186" s="76"/>
      <c r="C186" s="78"/>
      <c r="D186" s="78"/>
      <c r="E186" s="78"/>
      <c r="F186" s="78"/>
      <c r="G186" s="78"/>
      <c r="H186" s="78"/>
      <c r="I186" s="78"/>
      <c r="J186" s="78"/>
      <c r="K186" s="71"/>
      <c r="U186" s="71"/>
      <c r="V186" s="71"/>
      <c r="W186" s="71"/>
    </row>
    <row r="187" spans="1:23" ht="15.75" customHeight="1">
      <c r="A187" s="76" t="s">
        <v>673</v>
      </c>
      <c r="B187" s="76"/>
      <c r="C187" s="77">
        <v>3000</v>
      </c>
      <c r="D187" s="78">
        <f>(C118*(1-'5.Closing Stock &amp; W Capital'!$D$15))*$C$187*D124</f>
        <v>1667250</v>
      </c>
      <c r="E187" s="78">
        <f>((D118*(1-'5.Closing Stock &amp; W Capital'!$D$15))+(C118*'5.Closing Stock &amp; W Capital'!$D$15))*$C$187*E124</f>
        <v>1977412.5000000002</v>
      </c>
      <c r="F187" s="78">
        <f>((E118*(1-'5.Closing Stock &amp; W Capital'!$D$15))+(D118*'5.Closing Stock &amp; W Capital'!$D$15))*$C$187*F124</f>
        <v>2225120.6250000005</v>
      </c>
      <c r="G187" s="78">
        <f>((F118*(1-'5.Closing Stock &amp; W Capital'!$D$15))+(E118*'5.Closing Stock &amp; W Capital'!$D$15))*$C$187*G124</f>
        <v>2492656.0312500009</v>
      </c>
      <c r="H187" s="78">
        <f>((G118*(1-'5.Closing Stock &amp; W Capital'!$D$15))+(F118*'5.Closing Stock &amp; W Capital'!$D$15))*$C$187*H124</f>
        <v>2781382.1765625011</v>
      </c>
      <c r="I187" s="78">
        <f>((H118*(1-'5.Closing Stock &amp; W Capital'!$D$15))+(G118*'5.Closing Stock &amp; W Capital'!$D$15))*$C$187*I124</f>
        <v>3092749.2963281265</v>
      </c>
      <c r="J187" s="78">
        <f>((I118*(1-'5.Closing Stock &amp; W Capital'!$D$15))+(H118*'5.Closing Stock &amp; W Capital'!$D$15))*$C$187*J124</f>
        <v>3428299.6726289084</v>
      </c>
      <c r="K187" s="71"/>
      <c r="U187" s="287"/>
      <c r="V187" s="287"/>
      <c r="W187" s="287"/>
    </row>
    <row r="188" spans="1:23" ht="15.75" customHeight="1">
      <c r="A188" s="76" t="s">
        <v>674</v>
      </c>
      <c r="B188" s="76"/>
      <c r="C188" s="77">
        <v>2200</v>
      </c>
      <c r="D188" s="78">
        <f>(C119*(1-'5.Closing Stock &amp; W Capital'!$D$15))*$C$188*D124</f>
        <v>3056625</v>
      </c>
      <c r="E188" s="78">
        <f>((D119*(1-'5.Closing Stock &amp; W Capital'!$D$15))+(C119*'5.Closing Stock &amp; W Capital'!$D$15))*$C$188*E124</f>
        <v>3625256.2500000005</v>
      </c>
      <c r="F188" s="78">
        <f>((E119*(1-'5.Closing Stock &amp; W Capital'!$D$15))+(D119*'5.Closing Stock &amp; W Capital'!$D$15))*$C$188*F124</f>
        <v>4079387.8125000005</v>
      </c>
      <c r="G188" s="78">
        <f>((F119*(1-'5.Closing Stock &amp; W Capital'!$D$15))+(E119*'5.Closing Stock &amp; W Capital'!$D$15))*$C$188*G124</f>
        <v>4569869.3906250019</v>
      </c>
      <c r="H188" s="78">
        <f>((G119*(1-'5.Closing Stock &amp; W Capital'!$D$15))+(F119*'5.Closing Stock &amp; W Capital'!$D$15))*$C$188*H124</f>
        <v>5099200.657031252</v>
      </c>
      <c r="I188" s="78">
        <f>((H119*(1-'5.Closing Stock &amp; W Capital'!$D$15))+(G119*'5.Closing Stock &amp; W Capital'!$D$15))*$C$188*I124</f>
        <v>5670040.3766015656</v>
      </c>
      <c r="J188" s="78">
        <f>((I119*(1-'5.Closing Stock &amp; W Capital'!$D$15))+(H119*'5.Closing Stock &amp; W Capital'!$D$15))*$C$188*J124</f>
        <v>6285216.0664863326</v>
      </c>
      <c r="K188" s="71"/>
      <c r="U188" s="71"/>
      <c r="V188" s="71"/>
      <c r="W188" s="71"/>
    </row>
    <row r="189" spans="1:23" ht="15.75" customHeight="1">
      <c r="A189" s="76"/>
      <c r="B189" s="76"/>
      <c r="C189" s="78"/>
      <c r="D189" s="78"/>
      <c r="E189" s="78"/>
      <c r="F189" s="78"/>
      <c r="G189" s="78"/>
      <c r="H189" s="78"/>
      <c r="I189" s="78"/>
      <c r="J189" s="78"/>
      <c r="K189" s="71"/>
      <c r="U189" s="71"/>
      <c r="V189" s="71"/>
      <c r="W189" s="71"/>
    </row>
    <row r="190" spans="1:23" ht="15.75" customHeight="1">
      <c r="A190" s="76"/>
      <c r="B190" s="76"/>
      <c r="C190" s="78"/>
      <c r="D190" s="78"/>
      <c r="E190" s="78"/>
      <c r="F190" s="78"/>
      <c r="G190" s="78"/>
      <c r="H190" s="78"/>
      <c r="I190" s="78"/>
      <c r="J190" s="78"/>
      <c r="K190" s="71"/>
      <c r="U190" s="71"/>
      <c r="V190" s="71"/>
      <c r="W190" s="71"/>
    </row>
    <row r="191" spans="1:23" ht="15.75" customHeight="1">
      <c r="A191" s="79" t="s">
        <v>354</v>
      </c>
      <c r="B191" s="79"/>
      <c r="C191" s="80"/>
      <c r="D191" s="80">
        <f t="shared" ref="D191:J191" si="55">SUM(D130:D188)</f>
        <v>10017393.75</v>
      </c>
      <c r="E191" s="80">
        <f t="shared" si="55"/>
        <v>11880953.437500002</v>
      </c>
      <c r="F191" s="80">
        <f t="shared" si="55"/>
        <v>13369266.421875002</v>
      </c>
      <c r="G191" s="80">
        <f t="shared" si="55"/>
        <v>14976708.321093755</v>
      </c>
      <c r="H191" s="80">
        <f t="shared" si="55"/>
        <v>16711471.244179696</v>
      </c>
      <c r="I191" s="80">
        <f t="shared" si="55"/>
        <v>18582268.688771494</v>
      </c>
      <c r="J191" s="80">
        <f t="shared" si="55"/>
        <v>20598367.199712027</v>
      </c>
      <c r="K191" s="71"/>
      <c r="U191" s="71"/>
      <c r="V191" s="71"/>
      <c r="W191" s="71"/>
    </row>
    <row r="192" spans="1:23" ht="15.75" customHeight="1">
      <c r="A192" s="76"/>
      <c r="B192" s="76"/>
      <c r="C192" s="78"/>
      <c r="D192" s="78"/>
      <c r="E192" s="78"/>
      <c r="F192" s="78"/>
      <c r="G192" s="78"/>
      <c r="H192" s="78"/>
      <c r="I192" s="78"/>
      <c r="J192" s="78"/>
      <c r="K192" s="71"/>
      <c r="U192" s="71"/>
      <c r="V192" s="71"/>
      <c r="W192" s="71"/>
    </row>
    <row r="193" spans="1:23" ht="15.75" customHeight="1">
      <c r="A193" s="76"/>
      <c r="B193" s="76"/>
      <c r="C193" s="78"/>
      <c r="D193" s="78"/>
      <c r="E193" s="78"/>
      <c r="F193" s="78"/>
      <c r="G193" s="78"/>
      <c r="H193" s="78"/>
      <c r="I193" s="78"/>
      <c r="J193" s="78"/>
      <c r="K193" s="71"/>
      <c r="U193" s="71"/>
      <c r="V193" s="71"/>
      <c r="W193" s="71"/>
    </row>
    <row r="194" spans="1:23" ht="15.75" customHeight="1">
      <c r="A194" s="79" t="s">
        <v>587</v>
      </c>
      <c r="B194" s="79"/>
      <c r="C194" s="78"/>
      <c r="D194" s="78"/>
      <c r="E194" s="78"/>
      <c r="F194" s="78"/>
      <c r="G194" s="78"/>
      <c r="H194" s="78"/>
      <c r="I194" s="78"/>
      <c r="J194" s="78"/>
      <c r="K194" s="71"/>
      <c r="U194" s="71"/>
      <c r="V194" s="71"/>
      <c r="W194" s="71"/>
    </row>
    <row r="195" spans="1:23" ht="15.75" customHeight="1">
      <c r="A195" s="79" t="str">
        <f>A128</f>
        <v>Seeds (Rate/KG)</v>
      </c>
      <c r="B195" s="79"/>
      <c r="C195" s="78"/>
      <c r="D195" s="78"/>
      <c r="E195" s="78"/>
      <c r="F195" s="78"/>
      <c r="G195" s="78"/>
      <c r="H195" s="78"/>
      <c r="I195" s="78"/>
      <c r="J195" s="78"/>
      <c r="K195" s="71"/>
      <c r="U195" s="71"/>
      <c r="V195" s="71"/>
      <c r="W195" s="71"/>
    </row>
    <row r="196" spans="1:23" ht="15.75" customHeight="1">
      <c r="A196" s="71" t="s">
        <v>355</v>
      </c>
      <c r="B196" s="71"/>
      <c r="C196" s="71"/>
      <c r="D196" s="71"/>
      <c r="E196" s="71"/>
      <c r="F196" s="71"/>
      <c r="G196" s="71"/>
      <c r="H196" s="71"/>
      <c r="I196" s="71"/>
      <c r="J196" s="71"/>
      <c r="K196" s="71"/>
      <c r="U196" s="71"/>
      <c r="V196" s="71"/>
      <c r="W196" s="71"/>
    </row>
    <row r="197" spans="1:23" ht="15.75" customHeight="1">
      <c r="A197" s="76" t="str">
        <f t="shared" ref="A197:A238" si="56">A130</f>
        <v>Soybean</v>
      </c>
      <c r="B197" s="71"/>
      <c r="C197" s="77">
        <v>85</v>
      </c>
      <c r="D197" s="78">
        <f t="shared" ref="D197:J197" si="57">C62*$C197*D$124</f>
        <v>0</v>
      </c>
      <c r="E197" s="78">
        <f t="shared" si="57"/>
        <v>0</v>
      </c>
      <c r="F197" s="78">
        <f t="shared" si="57"/>
        <v>0</v>
      </c>
      <c r="G197" s="78">
        <f t="shared" si="57"/>
        <v>0</v>
      </c>
      <c r="H197" s="78">
        <f t="shared" si="57"/>
        <v>0</v>
      </c>
      <c r="I197" s="78">
        <f t="shared" si="57"/>
        <v>0</v>
      </c>
      <c r="J197" s="78">
        <f t="shared" si="57"/>
        <v>0</v>
      </c>
      <c r="K197" s="71"/>
      <c r="U197" s="71"/>
      <c r="V197" s="71"/>
      <c r="W197" s="71"/>
    </row>
    <row r="198" spans="1:23" ht="15.75" customHeight="1">
      <c r="A198" s="76" t="str">
        <f t="shared" si="56"/>
        <v>Red Gram/Tur</v>
      </c>
      <c r="B198" s="76"/>
      <c r="C198" s="77">
        <v>75</v>
      </c>
      <c r="D198" s="78">
        <f t="shared" ref="D198:J198" si="58">C63*$C198*D$124</f>
        <v>0</v>
      </c>
      <c r="E198" s="78">
        <f t="shared" si="58"/>
        <v>0</v>
      </c>
      <c r="F198" s="78">
        <f t="shared" si="58"/>
        <v>0</v>
      </c>
      <c r="G198" s="78">
        <f t="shared" si="58"/>
        <v>0</v>
      </c>
      <c r="H198" s="78">
        <f t="shared" si="58"/>
        <v>0</v>
      </c>
      <c r="I198" s="78">
        <f t="shared" si="58"/>
        <v>0</v>
      </c>
      <c r="J198" s="78">
        <f t="shared" si="58"/>
        <v>0</v>
      </c>
      <c r="K198" s="71"/>
      <c r="U198" s="71"/>
      <c r="V198" s="71"/>
      <c r="W198" s="71"/>
    </row>
    <row r="199" spans="1:23" ht="15.75" customHeight="1">
      <c r="A199" s="76" t="str">
        <f t="shared" si="56"/>
        <v>Turmeric</v>
      </c>
      <c r="B199" s="76"/>
      <c r="C199" s="77">
        <v>57</v>
      </c>
      <c r="D199" s="78">
        <f t="shared" ref="D199:J199" si="59">C64*$C199*D$124</f>
        <v>166725</v>
      </c>
      <c r="E199" s="78">
        <f t="shared" si="59"/>
        <v>188527.50000000003</v>
      </c>
      <c r="F199" s="78">
        <f t="shared" si="59"/>
        <v>212093.43750000003</v>
      </c>
      <c r="G199" s="78">
        <f t="shared" si="59"/>
        <v>237544.65000000008</v>
      </c>
      <c r="H199" s="78">
        <f t="shared" si="59"/>
        <v>265010.75015625014</v>
      </c>
      <c r="I199" s="78">
        <f t="shared" si="59"/>
        <v>294629.59870312514</v>
      </c>
      <c r="J199" s="78">
        <f t="shared" si="59"/>
        <v>326547.80522929714</v>
      </c>
      <c r="K199" s="71"/>
      <c r="U199" s="71"/>
      <c r="V199" s="71"/>
      <c r="W199" s="71"/>
    </row>
    <row r="200" spans="1:23" ht="15.75" customHeight="1">
      <c r="A200" s="76" t="str">
        <f t="shared" si="56"/>
        <v>Green Gram/ Moong</v>
      </c>
      <c r="B200" s="76"/>
      <c r="C200" s="77">
        <v>80</v>
      </c>
      <c r="D200" s="78">
        <f t="shared" ref="D200:J200" si="60">C65*$C200*D$124</f>
        <v>0</v>
      </c>
      <c r="E200" s="78">
        <f t="shared" si="60"/>
        <v>0</v>
      </c>
      <c r="F200" s="78">
        <f t="shared" si="60"/>
        <v>0</v>
      </c>
      <c r="G200" s="78">
        <f t="shared" si="60"/>
        <v>0</v>
      </c>
      <c r="H200" s="78">
        <f t="shared" si="60"/>
        <v>0</v>
      </c>
      <c r="I200" s="78">
        <f t="shared" si="60"/>
        <v>0</v>
      </c>
      <c r="J200" s="78">
        <f t="shared" si="60"/>
        <v>0</v>
      </c>
      <c r="K200" s="71"/>
      <c r="L200" s="71"/>
      <c r="M200" s="71"/>
      <c r="N200" s="71"/>
      <c r="O200" s="71"/>
      <c r="P200" s="71"/>
      <c r="Q200" s="71"/>
      <c r="R200" s="71"/>
      <c r="S200" s="71"/>
      <c r="T200" s="71"/>
      <c r="U200" s="71"/>
      <c r="V200" s="71"/>
      <c r="W200" s="71"/>
    </row>
    <row r="201" spans="1:23" ht="15.75" customHeight="1">
      <c r="A201" s="76" t="str">
        <f t="shared" si="56"/>
        <v>Maize</v>
      </c>
      <c r="B201" s="76"/>
      <c r="C201" s="77">
        <v>25</v>
      </c>
      <c r="D201" s="78">
        <f t="shared" ref="D201:J201" si="61">C66*$C201*D$124</f>
        <v>0</v>
      </c>
      <c r="E201" s="78">
        <f t="shared" si="61"/>
        <v>0</v>
      </c>
      <c r="F201" s="78">
        <f t="shared" si="61"/>
        <v>0</v>
      </c>
      <c r="G201" s="78">
        <f t="shared" si="61"/>
        <v>0</v>
      </c>
      <c r="H201" s="78">
        <f t="shared" si="61"/>
        <v>0</v>
      </c>
      <c r="I201" s="78">
        <f t="shared" si="61"/>
        <v>0</v>
      </c>
      <c r="J201" s="78">
        <f t="shared" si="61"/>
        <v>0</v>
      </c>
      <c r="K201" s="71"/>
      <c r="L201" s="71"/>
      <c r="M201" s="71"/>
      <c r="N201" s="71"/>
      <c r="O201" s="71"/>
      <c r="P201" s="71"/>
      <c r="Q201" s="71"/>
      <c r="R201" s="71"/>
      <c r="S201" s="71"/>
      <c r="T201" s="71"/>
      <c r="U201" s="71"/>
      <c r="V201" s="71"/>
      <c r="W201" s="71"/>
    </row>
    <row r="202" spans="1:23" ht="15.75" customHeight="1">
      <c r="A202" s="76" t="str">
        <f t="shared" si="56"/>
        <v>Black Gram/Udid</v>
      </c>
      <c r="B202" s="76"/>
      <c r="C202" s="77">
        <v>70</v>
      </c>
      <c r="D202" s="78">
        <f t="shared" ref="D202:J202" si="62">C67*$C202*D$124</f>
        <v>0</v>
      </c>
      <c r="E202" s="78">
        <f t="shared" si="62"/>
        <v>0</v>
      </c>
      <c r="F202" s="78">
        <f t="shared" si="62"/>
        <v>0</v>
      </c>
      <c r="G202" s="78">
        <f t="shared" si="62"/>
        <v>0</v>
      </c>
      <c r="H202" s="78">
        <f t="shared" si="62"/>
        <v>0</v>
      </c>
      <c r="I202" s="78">
        <f t="shared" si="62"/>
        <v>0</v>
      </c>
      <c r="J202" s="78">
        <f t="shared" si="62"/>
        <v>0</v>
      </c>
      <c r="K202" s="71"/>
      <c r="L202" s="71"/>
      <c r="M202" s="71"/>
      <c r="N202" s="71"/>
      <c r="O202" s="71"/>
      <c r="P202" s="71"/>
      <c r="Q202" s="71"/>
      <c r="R202" s="71"/>
      <c r="S202" s="71"/>
      <c r="T202" s="71"/>
      <c r="U202" s="71"/>
      <c r="V202" s="71"/>
      <c r="W202" s="71"/>
    </row>
    <row r="203" spans="1:23" ht="15.75" customHeight="1">
      <c r="A203" s="76" t="str">
        <f t="shared" si="56"/>
        <v>Bajra</v>
      </c>
      <c r="B203" s="76"/>
      <c r="C203" s="77">
        <v>25</v>
      </c>
      <c r="D203" s="78">
        <f t="shared" ref="D203:J203" si="63">C68*$C203*D$124</f>
        <v>0</v>
      </c>
      <c r="E203" s="78">
        <f t="shared" si="63"/>
        <v>0</v>
      </c>
      <c r="F203" s="78">
        <f t="shared" si="63"/>
        <v>0</v>
      </c>
      <c r="G203" s="78">
        <f t="shared" si="63"/>
        <v>0</v>
      </c>
      <c r="H203" s="78">
        <f t="shared" si="63"/>
        <v>0</v>
      </c>
      <c r="I203" s="78">
        <f t="shared" si="63"/>
        <v>0</v>
      </c>
      <c r="J203" s="78">
        <f t="shared" si="63"/>
        <v>0</v>
      </c>
      <c r="K203" s="71"/>
      <c r="L203" s="71"/>
      <c r="M203" s="71"/>
      <c r="N203" s="71"/>
      <c r="O203" s="71"/>
      <c r="P203" s="71"/>
      <c r="Q203" s="71"/>
      <c r="R203" s="71"/>
      <c r="S203" s="71"/>
      <c r="T203" s="71"/>
      <c r="U203" s="71"/>
      <c r="V203" s="71"/>
      <c r="W203" s="71"/>
    </row>
    <row r="204" spans="1:23" ht="15.75" customHeight="1">
      <c r="A204" s="76" t="str">
        <f t="shared" si="56"/>
        <v>Jawar</v>
      </c>
      <c r="B204" s="76"/>
      <c r="C204" s="77">
        <v>25</v>
      </c>
      <c r="D204" s="78">
        <f t="shared" ref="D204:J204" si="64">C69*$C204*D$124</f>
        <v>0</v>
      </c>
      <c r="E204" s="78">
        <f t="shared" si="64"/>
        <v>0</v>
      </c>
      <c r="F204" s="78">
        <f t="shared" si="64"/>
        <v>0</v>
      </c>
      <c r="G204" s="78">
        <f t="shared" si="64"/>
        <v>0</v>
      </c>
      <c r="H204" s="78">
        <f t="shared" si="64"/>
        <v>0</v>
      </c>
      <c r="I204" s="78">
        <f t="shared" si="64"/>
        <v>0</v>
      </c>
      <c r="J204" s="78">
        <f t="shared" si="64"/>
        <v>0</v>
      </c>
      <c r="K204" s="71"/>
      <c r="L204" s="71"/>
      <c r="M204" s="71"/>
      <c r="N204" s="71"/>
      <c r="O204" s="71"/>
      <c r="P204" s="71"/>
      <c r="Q204" s="71"/>
      <c r="R204" s="71"/>
      <c r="S204" s="71"/>
      <c r="T204" s="71"/>
      <c r="U204" s="71"/>
      <c r="V204" s="71"/>
      <c r="W204" s="71"/>
    </row>
    <row r="205" spans="1:23" ht="15.75" customHeight="1">
      <c r="A205" s="79" t="str">
        <f t="shared" si="56"/>
        <v>Rabi Crop</v>
      </c>
      <c r="B205" s="76"/>
      <c r="C205" s="77"/>
      <c r="D205" s="78">
        <f t="shared" ref="D205:J205" si="65">C70*$C205*D$124</f>
        <v>0</v>
      </c>
      <c r="E205" s="78">
        <f t="shared" si="65"/>
        <v>0</v>
      </c>
      <c r="F205" s="78">
        <f t="shared" si="65"/>
        <v>0</v>
      </c>
      <c r="G205" s="78">
        <f t="shared" si="65"/>
        <v>0</v>
      </c>
      <c r="H205" s="78">
        <f t="shared" si="65"/>
        <v>0</v>
      </c>
      <c r="I205" s="78">
        <f t="shared" si="65"/>
        <v>0</v>
      </c>
      <c r="J205" s="78">
        <f t="shared" si="65"/>
        <v>0</v>
      </c>
      <c r="K205" s="71"/>
      <c r="L205" s="71"/>
      <c r="M205" s="71"/>
      <c r="N205" s="71"/>
      <c r="O205" s="71"/>
      <c r="P205" s="71"/>
      <c r="Q205" s="71"/>
      <c r="R205" s="71"/>
      <c r="S205" s="71"/>
      <c r="T205" s="71"/>
      <c r="U205" s="71"/>
      <c r="V205" s="71"/>
      <c r="W205" s="71"/>
    </row>
    <row r="206" spans="1:23" ht="15.75" customHeight="1">
      <c r="A206" s="76" t="str">
        <f t="shared" si="56"/>
        <v>Wheat</v>
      </c>
      <c r="B206" s="76"/>
      <c r="C206" s="77">
        <v>35</v>
      </c>
      <c r="D206" s="78">
        <f t="shared" ref="D206:J206" si="66">C71*$C206*D$124</f>
        <v>0</v>
      </c>
      <c r="E206" s="78">
        <f t="shared" si="66"/>
        <v>0</v>
      </c>
      <c r="F206" s="78">
        <f t="shared" si="66"/>
        <v>0</v>
      </c>
      <c r="G206" s="78">
        <f t="shared" si="66"/>
        <v>0</v>
      </c>
      <c r="H206" s="78">
        <f t="shared" si="66"/>
        <v>0</v>
      </c>
      <c r="I206" s="78">
        <f t="shared" si="66"/>
        <v>0</v>
      </c>
      <c r="J206" s="78">
        <f t="shared" si="66"/>
        <v>0</v>
      </c>
      <c r="K206" s="71"/>
      <c r="L206" s="71"/>
      <c r="M206" s="71"/>
      <c r="N206" s="71"/>
      <c r="O206" s="71"/>
      <c r="P206" s="71"/>
      <c r="Q206" s="71"/>
      <c r="R206" s="71"/>
      <c r="S206" s="71"/>
      <c r="T206" s="71"/>
      <c r="U206" s="71"/>
      <c r="V206" s="71"/>
      <c r="W206" s="71"/>
    </row>
    <row r="207" spans="1:23" ht="15.75" customHeight="1">
      <c r="A207" s="76" t="str">
        <f t="shared" si="56"/>
        <v>Bengal Gram/Channa</v>
      </c>
      <c r="B207" s="76"/>
      <c r="C207" s="77">
        <v>70</v>
      </c>
      <c r="D207" s="78">
        <f t="shared" ref="D207:J207" si="67">C72*$C207*D$124</f>
        <v>0</v>
      </c>
      <c r="E207" s="78">
        <f t="shared" si="67"/>
        <v>0</v>
      </c>
      <c r="F207" s="78">
        <f t="shared" si="67"/>
        <v>0</v>
      </c>
      <c r="G207" s="78">
        <f t="shared" si="67"/>
        <v>0</v>
      </c>
      <c r="H207" s="78">
        <f t="shared" si="67"/>
        <v>0</v>
      </c>
      <c r="I207" s="78">
        <f t="shared" si="67"/>
        <v>0</v>
      </c>
      <c r="J207" s="78">
        <f t="shared" si="67"/>
        <v>0</v>
      </c>
      <c r="K207" s="71"/>
      <c r="L207" s="71"/>
      <c r="M207" s="71"/>
      <c r="N207" s="71"/>
      <c r="O207" s="71"/>
      <c r="P207" s="71"/>
      <c r="Q207" s="71"/>
      <c r="R207" s="71"/>
      <c r="S207" s="71"/>
      <c r="T207" s="71"/>
      <c r="U207" s="71"/>
      <c r="V207" s="71"/>
      <c r="W207" s="71"/>
    </row>
    <row r="208" spans="1:23" ht="15.75" customHeight="1">
      <c r="A208" s="76" t="str">
        <f t="shared" si="56"/>
        <v>Jawar</v>
      </c>
      <c r="B208" s="76"/>
      <c r="C208" s="77">
        <v>25</v>
      </c>
      <c r="D208" s="78">
        <f t="shared" ref="D208:J208" si="68">C73*$C208*D$124</f>
        <v>0</v>
      </c>
      <c r="E208" s="78">
        <f t="shared" si="68"/>
        <v>0</v>
      </c>
      <c r="F208" s="78">
        <f t="shared" si="68"/>
        <v>0</v>
      </c>
      <c r="G208" s="78">
        <f t="shared" si="68"/>
        <v>0</v>
      </c>
      <c r="H208" s="78">
        <f t="shared" si="68"/>
        <v>0</v>
      </c>
      <c r="I208" s="78">
        <f t="shared" si="68"/>
        <v>0</v>
      </c>
      <c r="J208" s="78">
        <f t="shared" si="68"/>
        <v>0</v>
      </c>
      <c r="K208" s="71"/>
      <c r="L208" s="71"/>
      <c r="M208" s="71"/>
      <c r="N208" s="71"/>
      <c r="O208" s="71"/>
      <c r="P208" s="71"/>
      <c r="Q208" s="71"/>
      <c r="R208" s="71"/>
      <c r="S208" s="71"/>
      <c r="T208" s="71"/>
      <c r="U208" s="71"/>
      <c r="V208" s="71"/>
      <c r="W208" s="71"/>
    </row>
    <row r="209" spans="1:23" ht="15.75" customHeight="1">
      <c r="A209" s="76" t="str">
        <f t="shared" si="56"/>
        <v>Maize</v>
      </c>
      <c r="B209" s="76"/>
      <c r="C209" s="77">
        <v>25</v>
      </c>
      <c r="D209" s="78">
        <f t="shared" ref="D209:J209" si="69">C74*$C209*D$124</f>
        <v>0</v>
      </c>
      <c r="E209" s="78">
        <f t="shared" si="69"/>
        <v>0</v>
      </c>
      <c r="F209" s="78">
        <f t="shared" si="69"/>
        <v>0</v>
      </c>
      <c r="G209" s="78">
        <f t="shared" si="69"/>
        <v>0</v>
      </c>
      <c r="H209" s="78">
        <f t="shared" si="69"/>
        <v>0</v>
      </c>
      <c r="I209" s="78">
        <f t="shared" si="69"/>
        <v>0</v>
      </c>
      <c r="J209" s="78">
        <f t="shared" si="69"/>
        <v>0</v>
      </c>
      <c r="K209" s="71"/>
      <c r="L209" s="71"/>
      <c r="M209" s="71"/>
      <c r="N209" s="71"/>
      <c r="O209" s="71"/>
      <c r="P209" s="71"/>
      <c r="Q209" s="71"/>
      <c r="R209" s="71"/>
      <c r="S209" s="71"/>
      <c r="T209" s="71"/>
      <c r="U209" s="71"/>
      <c r="V209" s="71"/>
      <c r="W209" s="71"/>
    </row>
    <row r="210" spans="1:23" ht="15.75" customHeight="1">
      <c r="A210" s="76" t="str">
        <f t="shared" si="56"/>
        <v>Safflower</v>
      </c>
      <c r="B210" s="76"/>
      <c r="C210" s="77">
        <v>25</v>
      </c>
      <c r="D210" s="78">
        <f t="shared" ref="D210:J210" si="70">C75*$C210*D$124</f>
        <v>0</v>
      </c>
      <c r="E210" s="78">
        <f t="shared" si="70"/>
        <v>0</v>
      </c>
      <c r="F210" s="78">
        <f t="shared" si="70"/>
        <v>0</v>
      </c>
      <c r="G210" s="78">
        <f t="shared" si="70"/>
        <v>0</v>
      </c>
      <c r="H210" s="78">
        <f t="shared" si="70"/>
        <v>0</v>
      </c>
      <c r="I210" s="78">
        <f t="shared" si="70"/>
        <v>0</v>
      </c>
      <c r="J210" s="78">
        <f t="shared" si="70"/>
        <v>0</v>
      </c>
      <c r="K210" s="71"/>
      <c r="L210" s="71"/>
      <c r="M210" s="71"/>
      <c r="N210" s="71"/>
      <c r="O210" s="71"/>
      <c r="P210" s="71"/>
      <c r="Q210" s="71"/>
      <c r="R210" s="71"/>
      <c r="S210" s="71"/>
      <c r="T210" s="71"/>
      <c r="U210" s="71"/>
      <c r="V210" s="71"/>
      <c r="W210" s="71"/>
    </row>
    <row r="211" spans="1:23" ht="15.75" customHeight="1">
      <c r="A211" s="76">
        <f t="shared" si="56"/>
        <v>0</v>
      </c>
      <c r="B211" s="76"/>
      <c r="C211" s="77"/>
      <c r="D211" s="78">
        <f t="shared" ref="D211:J211" si="71">C76*$C211*D$124</f>
        <v>0</v>
      </c>
      <c r="E211" s="78">
        <f t="shared" si="71"/>
        <v>0</v>
      </c>
      <c r="F211" s="78">
        <f t="shared" si="71"/>
        <v>0</v>
      </c>
      <c r="G211" s="78">
        <f t="shared" si="71"/>
        <v>0</v>
      </c>
      <c r="H211" s="78">
        <f t="shared" si="71"/>
        <v>0</v>
      </c>
      <c r="I211" s="78">
        <f t="shared" si="71"/>
        <v>0</v>
      </c>
      <c r="J211" s="78">
        <f t="shared" si="71"/>
        <v>0</v>
      </c>
      <c r="K211" s="71"/>
      <c r="L211" s="71"/>
      <c r="M211" s="71"/>
      <c r="N211" s="71"/>
      <c r="O211" s="71"/>
      <c r="P211" s="71"/>
      <c r="Q211" s="71"/>
      <c r="R211" s="71"/>
      <c r="S211" s="71"/>
      <c r="T211" s="71"/>
      <c r="U211" s="71"/>
      <c r="V211" s="71"/>
      <c r="W211" s="71"/>
    </row>
    <row r="212" spans="1:23" ht="15.75" customHeight="1">
      <c r="A212" s="76">
        <f t="shared" si="56"/>
        <v>0</v>
      </c>
      <c r="B212" s="76"/>
      <c r="C212" s="77"/>
      <c r="D212" s="78">
        <f t="shared" ref="D212:J212" si="72">C77*$C212*D$124</f>
        <v>0</v>
      </c>
      <c r="E212" s="78">
        <f t="shared" si="72"/>
        <v>0</v>
      </c>
      <c r="F212" s="78">
        <f t="shared" si="72"/>
        <v>0</v>
      </c>
      <c r="G212" s="78">
        <f t="shared" si="72"/>
        <v>0</v>
      </c>
      <c r="H212" s="78">
        <f t="shared" si="72"/>
        <v>0</v>
      </c>
      <c r="I212" s="78">
        <f t="shared" si="72"/>
        <v>0</v>
      </c>
      <c r="J212" s="78">
        <f t="shared" si="72"/>
        <v>0</v>
      </c>
      <c r="K212" s="71"/>
      <c r="L212" s="71"/>
      <c r="M212" s="71"/>
      <c r="N212" s="71"/>
      <c r="O212" s="71"/>
      <c r="P212" s="71"/>
      <c r="Q212" s="71"/>
      <c r="R212" s="71"/>
      <c r="S212" s="71"/>
      <c r="T212" s="71"/>
      <c r="U212" s="71"/>
      <c r="V212" s="71"/>
      <c r="W212" s="71"/>
    </row>
    <row r="213" spans="1:23" ht="15.75" customHeight="1">
      <c r="A213" s="76">
        <f t="shared" si="56"/>
        <v>0</v>
      </c>
      <c r="B213" s="76"/>
      <c r="C213" s="77"/>
      <c r="D213" s="78">
        <f t="shared" ref="D213:J213" si="73">C78*$C213*D$124</f>
        <v>0</v>
      </c>
      <c r="E213" s="78">
        <f t="shared" si="73"/>
        <v>0</v>
      </c>
      <c r="F213" s="78">
        <f t="shared" si="73"/>
        <v>0</v>
      </c>
      <c r="G213" s="78">
        <f t="shared" si="73"/>
        <v>0</v>
      </c>
      <c r="H213" s="78">
        <f t="shared" si="73"/>
        <v>0</v>
      </c>
      <c r="I213" s="78">
        <f t="shared" si="73"/>
        <v>0</v>
      </c>
      <c r="J213" s="78">
        <f t="shared" si="73"/>
        <v>0</v>
      </c>
      <c r="K213" s="71"/>
      <c r="L213" s="71"/>
      <c r="M213" s="71"/>
      <c r="N213" s="71"/>
      <c r="O213" s="71"/>
      <c r="P213" s="71"/>
      <c r="Q213" s="71"/>
      <c r="R213" s="71"/>
      <c r="S213" s="71"/>
      <c r="T213" s="71"/>
      <c r="U213" s="71"/>
      <c r="V213" s="71"/>
      <c r="W213" s="71"/>
    </row>
    <row r="214" spans="1:23" ht="15.75" customHeight="1">
      <c r="A214" s="76" t="str">
        <f t="shared" si="56"/>
        <v>Summer</v>
      </c>
      <c r="B214" s="76"/>
      <c r="C214" s="77"/>
      <c r="D214" s="78">
        <f t="shared" ref="D214:J214" si="74">C79*$C214*D$124</f>
        <v>0</v>
      </c>
      <c r="E214" s="78">
        <f t="shared" si="74"/>
        <v>0</v>
      </c>
      <c r="F214" s="78">
        <f t="shared" si="74"/>
        <v>0</v>
      </c>
      <c r="G214" s="78">
        <f t="shared" si="74"/>
        <v>0</v>
      </c>
      <c r="H214" s="78">
        <f t="shared" si="74"/>
        <v>0</v>
      </c>
      <c r="I214" s="78">
        <f t="shared" si="74"/>
        <v>0</v>
      </c>
      <c r="J214" s="78">
        <f t="shared" si="74"/>
        <v>0</v>
      </c>
      <c r="K214" s="71"/>
      <c r="L214" s="71"/>
      <c r="M214" s="71"/>
      <c r="N214" s="71"/>
      <c r="O214" s="71"/>
      <c r="P214" s="71"/>
      <c r="Q214" s="71"/>
      <c r="R214" s="71"/>
      <c r="S214" s="71"/>
      <c r="T214" s="71"/>
      <c r="U214" s="71"/>
      <c r="V214" s="71"/>
      <c r="W214" s="71"/>
    </row>
    <row r="215" spans="1:23" ht="15.75" customHeight="1">
      <c r="A215" s="76" t="str">
        <f t="shared" si="56"/>
        <v>Groundnut</v>
      </c>
      <c r="B215" s="76"/>
      <c r="C215" s="77"/>
      <c r="D215" s="78">
        <f t="shared" ref="D215:J215" si="75">C80*$C215*D$124</f>
        <v>0</v>
      </c>
      <c r="E215" s="78">
        <f t="shared" si="75"/>
        <v>0</v>
      </c>
      <c r="F215" s="78">
        <f t="shared" si="75"/>
        <v>0</v>
      </c>
      <c r="G215" s="78">
        <f t="shared" si="75"/>
        <v>0</v>
      </c>
      <c r="H215" s="78">
        <f t="shared" si="75"/>
        <v>0</v>
      </c>
      <c r="I215" s="78">
        <f t="shared" si="75"/>
        <v>0</v>
      </c>
      <c r="J215" s="78">
        <f t="shared" si="75"/>
        <v>0</v>
      </c>
      <c r="K215" s="71"/>
      <c r="L215" s="71"/>
      <c r="M215" s="71"/>
      <c r="N215" s="71"/>
      <c r="O215" s="71"/>
      <c r="P215" s="71"/>
      <c r="Q215" s="71"/>
      <c r="R215" s="71"/>
      <c r="S215" s="71"/>
      <c r="T215" s="71"/>
      <c r="U215" s="71"/>
      <c r="V215" s="71"/>
      <c r="W215" s="71"/>
    </row>
    <row r="216" spans="1:23" ht="15.75" customHeight="1">
      <c r="A216" s="76">
        <f t="shared" si="56"/>
        <v>0</v>
      </c>
      <c r="B216" s="76"/>
      <c r="C216" s="77"/>
      <c r="D216" s="78">
        <f t="shared" ref="D216:J216" si="76">C81*$C216*D$124</f>
        <v>0</v>
      </c>
      <c r="E216" s="78">
        <f t="shared" si="76"/>
        <v>0</v>
      </c>
      <c r="F216" s="78">
        <f t="shared" si="76"/>
        <v>0</v>
      </c>
      <c r="G216" s="78">
        <f t="shared" si="76"/>
        <v>0</v>
      </c>
      <c r="H216" s="78">
        <f t="shared" si="76"/>
        <v>0</v>
      </c>
      <c r="I216" s="78">
        <f t="shared" si="76"/>
        <v>0</v>
      </c>
      <c r="J216" s="78">
        <f t="shared" si="76"/>
        <v>0</v>
      </c>
      <c r="K216" s="71"/>
      <c r="L216" s="71"/>
      <c r="M216" s="71"/>
      <c r="N216" s="71"/>
      <c r="O216" s="71"/>
      <c r="P216" s="71"/>
      <c r="Q216" s="71"/>
      <c r="R216" s="71"/>
      <c r="S216" s="71"/>
      <c r="T216" s="71"/>
      <c r="U216" s="71"/>
      <c r="V216" s="71"/>
      <c r="W216" s="71"/>
    </row>
    <row r="217" spans="1:23" ht="15.75" customHeight="1">
      <c r="A217" s="76">
        <f t="shared" si="56"/>
        <v>0</v>
      </c>
      <c r="B217" s="76"/>
      <c r="C217" s="77"/>
      <c r="D217" s="78">
        <f t="shared" ref="D217:J217" si="77">C82*$C217*D$124</f>
        <v>0</v>
      </c>
      <c r="E217" s="78">
        <f t="shared" si="77"/>
        <v>0</v>
      </c>
      <c r="F217" s="78">
        <f t="shared" si="77"/>
        <v>0</v>
      </c>
      <c r="G217" s="78">
        <f t="shared" si="77"/>
        <v>0</v>
      </c>
      <c r="H217" s="78">
        <f t="shared" si="77"/>
        <v>0</v>
      </c>
      <c r="I217" s="78">
        <f t="shared" si="77"/>
        <v>0</v>
      </c>
      <c r="J217" s="78">
        <f t="shared" si="77"/>
        <v>0</v>
      </c>
      <c r="K217" s="71"/>
      <c r="L217" s="71"/>
      <c r="M217" s="71"/>
      <c r="N217" s="71"/>
      <c r="O217" s="71"/>
      <c r="P217" s="71"/>
      <c r="Q217" s="71"/>
      <c r="R217" s="71"/>
      <c r="S217" s="71"/>
      <c r="T217" s="71"/>
      <c r="U217" s="71"/>
      <c r="V217" s="71"/>
      <c r="W217" s="71"/>
    </row>
    <row r="218" spans="1:23" ht="15.75" customHeight="1">
      <c r="A218" s="76">
        <f t="shared" si="56"/>
        <v>0</v>
      </c>
      <c r="B218" s="76"/>
      <c r="C218" s="77"/>
      <c r="D218" s="78">
        <f t="shared" ref="D218:J218" si="78">C83*$C218*D$124</f>
        <v>0</v>
      </c>
      <c r="E218" s="78">
        <f t="shared" si="78"/>
        <v>0</v>
      </c>
      <c r="F218" s="78">
        <f t="shared" si="78"/>
        <v>0</v>
      </c>
      <c r="G218" s="78">
        <f t="shared" si="78"/>
        <v>0</v>
      </c>
      <c r="H218" s="78">
        <f t="shared" si="78"/>
        <v>0</v>
      </c>
      <c r="I218" s="78">
        <f t="shared" si="78"/>
        <v>0</v>
      </c>
      <c r="J218" s="78">
        <f t="shared" si="78"/>
        <v>0</v>
      </c>
      <c r="K218" s="71"/>
      <c r="L218" s="71"/>
      <c r="M218" s="71"/>
      <c r="N218" s="71"/>
      <c r="O218" s="71"/>
      <c r="P218" s="71"/>
      <c r="Q218" s="71"/>
      <c r="R218" s="71"/>
      <c r="S218" s="71"/>
      <c r="T218" s="71"/>
      <c r="U218" s="71"/>
      <c r="V218" s="71"/>
      <c r="W218" s="71"/>
    </row>
    <row r="219" spans="1:23" ht="15.75" customHeight="1">
      <c r="A219" s="76">
        <f t="shared" si="56"/>
        <v>0</v>
      </c>
      <c r="B219" s="76"/>
      <c r="C219" s="77"/>
      <c r="D219" s="78">
        <f t="shared" ref="D219:J219" si="79">C84*$C219*D$124</f>
        <v>0</v>
      </c>
      <c r="E219" s="78">
        <f t="shared" si="79"/>
        <v>0</v>
      </c>
      <c r="F219" s="78">
        <f t="shared" si="79"/>
        <v>0</v>
      </c>
      <c r="G219" s="78">
        <f t="shared" si="79"/>
        <v>0</v>
      </c>
      <c r="H219" s="78">
        <f t="shared" si="79"/>
        <v>0</v>
      </c>
      <c r="I219" s="78">
        <f t="shared" si="79"/>
        <v>0</v>
      </c>
      <c r="J219" s="78">
        <f t="shared" si="79"/>
        <v>0</v>
      </c>
      <c r="K219" s="71"/>
      <c r="L219" s="71"/>
      <c r="M219" s="71"/>
      <c r="N219" s="71"/>
      <c r="O219" s="71"/>
      <c r="P219" s="71"/>
      <c r="Q219" s="71"/>
      <c r="R219" s="71"/>
      <c r="S219" s="71"/>
      <c r="T219" s="71"/>
      <c r="U219" s="71"/>
      <c r="V219" s="71"/>
      <c r="W219" s="71"/>
    </row>
    <row r="220" spans="1:23" ht="15.75" customHeight="1">
      <c r="A220" s="76" t="str">
        <f t="shared" si="56"/>
        <v>Fruit  &amp; Vegetables Crop Production Details</v>
      </c>
      <c r="B220" s="76"/>
      <c r="C220" s="78"/>
      <c r="D220" s="78"/>
      <c r="E220" s="78"/>
      <c r="F220" s="78"/>
      <c r="G220" s="78"/>
      <c r="H220" s="78"/>
      <c r="I220" s="78"/>
      <c r="J220" s="78"/>
      <c r="K220" s="71"/>
      <c r="L220" s="71"/>
      <c r="M220" s="71"/>
      <c r="N220" s="71"/>
      <c r="O220" s="71"/>
      <c r="P220" s="71"/>
      <c r="Q220" s="71"/>
      <c r="R220" s="71"/>
      <c r="S220" s="71"/>
      <c r="T220" s="71"/>
      <c r="U220" s="71"/>
      <c r="V220" s="71"/>
      <c r="W220" s="71"/>
    </row>
    <row r="221" spans="1:23" ht="15.75" customHeight="1">
      <c r="A221" s="76" t="str">
        <f t="shared" si="56"/>
        <v>Onion</v>
      </c>
      <c r="B221" s="76"/>
      <c r="C221" s="77"/>
      <c r="D221" s="78">
        <f t="shared" ref="D221:J221" si="80">C86*$C221*D$124</f>
        <v>0</v>
      </c>
      <c r="E221" s="78">
        <f t="shared" si="80"/>
        <v>0</v>
      </c>
      <c r="F221" s="78">
        <f t="shared" si="80"/>
        <v>0</v>
      </c>
      <c r="G221" s="78">
        <f t="shared" si="80"/>
        <v>0</v>
      </c>
      <c r="H221" s="78">
        <f t="shared" si="80"/>
        <v>0</v>
      </c>
      <c r="I221" s="78">
        <f t="shared" si="80"/>
        <v>0</v>
      </c>
      <c r="J221" s="78">
        <f t="shared" si="80"/>
        <v>0</v>
      </c>
      <c r="K221" s="71"/>
      <c r="L221" s="71"/>
      <c r="M221" s="71"/>
      <c r="N221" s="71"/>
      <c r="O221" s="71"/>
      <c r="P221" s="71"/>
      <c r="Q221" s="71"/>
      <c r="R221" s="71"/>
      <c r="S221" s="71"/>
      <c r="T221" s="71"/>
      <c r="U221" s="71"/>
      <c r="V221" s="71"/>
      <c r="W221" s="71"/>
    </row>
    <row r="222" spans="1:23" ht="15.75" customHeight="1">
      <c r="A222" s="76" t="str">
        <f t="shared" si="56"/>
        <v>Tomato</v>
      </c>
      <c r="B222" s="76"/>
      <c r="C222" s="77"/>
      <c r="D222" s="78">
        <f t="shared" ref="D222:J222" si="81">C87*$C222*D$124</f>
        <v>0</v>
      </c>
      <c r="E222" s="78">
        <f t="shared" si="81"/>
        <v>0</v>
      </c>
      <c r="F222" s="78">
        <f t="shared" si="81"/>
        <v>0</v>
      </c>
      <c r="G222" s="78">
        <f t="shared" si="81"/>
        <v>0</v>
      </c>
      <c r="H222" s="78">
        <f t="shared" si="81"/>
        <v>0</v>
      </c>
      <c r="I222" s="78">
        <f t="shared" si="81"/>
        <v>0</v>
      </c>
      <c r="J222" s="78">
        <f t="shared" si="81"/>
        <v>0</v>
      </c>
      <c r="K222" s="71"/>
      <c r="L222" s="71"/>
      <c r="M222" s="71"/>
      <c r="N222" s="71"/>
      <c r="O222" s="71"/>
      <c r="P222" s="71"/>
      <c r="Q222" s="71"/>
      <c r="R222" s="71"/>
      <c r="S222" s="71"/>
      <c r="T222" s="71"/>
      <c r="U222" s="71"/>
      <c r="V222" s="71"/>
      <c r="W222" s="71"/>
    </row>
    <row r="223" spans="1:23" ht="15.75" customHeight="1">
      <c r="A223" s="76" t="str">
        <f t="shared" si="56"/>
        <v>Okra</v>
      </c>
      <c r="B223" s="76"/>
      <c r="C223" s="77"/>
      <c r="D223" s="78">
        <f t="shared" ref="D223:J223" si="82">C88*$C223*D$124</f>
        <v>0</v>
      </c>
      <c r="E223" s="78">
        <f t="shared" si="82"/>
        <v>0</v>
      </c>
      <c r="F223" s="78">
        <f t="shared" si="82"/>
        <v>0</v>
      </c>
      <c r="G223" s="78">
        <f t="shared" si="82"/>
        <v>0</v>
      </c>
      <c r="H223" s="78">
        <f t="shared" si="82"/>
        <v>0</v>
      </c>
      <c r="I223" s="78">
        <f t="shared" si="82"/>
        <v>0</v>
      </c>
      <c r="J223" s="78">
        <f t="shared" si="82"/>
        <v>0</v>
      </c>
      <c r="K223" s="71"/>
      <c r="L223" s="71"/>
      <c r="M223" s="71"/>
      <c r="N223" s="71"/>
      <c r="O223" s="71"/>
      <c r="P223" s="71"/>
      <c r="Q223" s="71"/>
      <c r="R223" s="71"/>
      <c r="S223" s="71"/>
      <c r="T223" s="71"/>
      <c r="U223" s="71"/>
      <c r="V223" s="71"/>
      <c r="W223" s="71"/>
    </row>
    <row r="224" spans="1:23" ht="15.75" customHeight="1">
      <c r="A224" s="76" t="str">
        <f t="shared" si="56"/>
        <v>Chilli</v>
      </c>
      <c r="B224" s="76"/>
      <c r="C224" s="77"/>
      <c r="D224" s="78">
        <f t="shared" ref="D224:J224" si="83">C89*$C224*D$124</f>
        <v>0</v>
      </c>
      <c r="E224" s="78">
        <f t="shared" si="83"/>
        <v>0</v>
      </c>
      <c r="F224" s="78">
        <f t="shared" si="83"/>
        <v>0</v>
      </c>
      <c r="G224" s="78">
        <f t="shared" si="83"/>
        <v>0</v>
      </c>
      <c r="H224" s="78">
        <f t="shared" si="83"/>
        <v>0</v>
      </c>
      <c r="I224" s="78">
        <f t="shared" si="83"/>
        <v>0</v>
      </c>
      <c r="J224" s="78">
        <f t="shared" si="83"/>
        <v>0</v>
      </c>
      <c r="K224" s="71"/>
      <c r="L224" s="71"/>
      <c r="M224" s="71"/>
      <c r="N224" s="71"/>
      <c r="O224" s="71"/>
      <c r="P224" s="71"/>
      <c r="Q224" s="71"/>
      <c r="R224" s="71"/>
      <c r="S224" s="71"/>
      <c r="T224" s="71"/>
      <c r="U224" s="71"/>
      <c r="V224" s="71"/>
      <c r="W224" s="71"/>
    </row>
    <row r="225" spans="1:23" ht="15.75" customHeight="1">
      <c r="A225" s="76" t="str">
        <f t="shared" si="56"/>
        <v>Potato</v>
      </c>
      <c r="B225" s="76"/>
      <c r="C225" s="77"/>
      <c r="D225" s="78">
        <f t="shared" ref="D225:J225" si="84">C90*$C225*D$124</f>
        <v>0</v>
      </c>
      <c r="E225" s="78">
        <f t="shared" si="84"/>
        <v>0</v>
      </c>
      <c r="F225" s="78">
        <f t="shared" si="84"/>
        <v>0</v>
      </c>
      <c r="G225" s="78">
        <f t="shared" si="84"/>
        <v>0</v>
      </c>
      <c r="H225" s="78">
        <f t="shared" si="84"/>
        <v>0</v>
      </c>
      <c r="I225" s="78">
        <f t="shared" si="84"/>
        <v>0</v>
      </c>
      <c r="J225" s="78">
        <f t="shared" si="84"/>
        <v>0</v>
      </c>
      <c r="K225" s="71"/>
      <c r="L225" s="71"/>
      <c r="M225" s="71"/>
      <c r="N225" s="71"/>
      <c r="O225" s="71"/>
      <c r="P225" s="71"/>
      <c r="Q225" s="71"/>
      <c r="R225" s="71"/>
      <c r="S225" s="71"/>
      <c r="T225" s="71"/>
      <c r="U225" s="71"/>
      <c r="V225" s="71"/>
      <c r="W225" s="71"/>
    </row>
    <row r="226" spans="1:23" ht="15.75" customHeight="1">
      <c r="A226" s="76">
        <f t="shared" si="56"/>
        <v>0</v>
      </c>
      <c r="B226" s="76"/>
      <c r="C226" s="77"/>
      <c r="D226" s="78">
        <f t="shared" ref="D226:J226" si="85">C91*$C226*D$124</f>
        <v>0</v>
      </c>
      <c r="E226" s="78">
        <f t="shared" si="85"/>
        <v>0</v>
      </c>
      <c r="F226" s="78">
        <f t="shared" si="85"/>
        <v>0</v>
      </c>
      <c r="G226" s="78">
        <f t="shared" si="85"/>
        <v>0</v>
      </c>
      <c r="H226" s="78">
        <f t="shared" si="85"/>
        <v>0</v>
      </c>
      <c r="I226" s="78">
        <f t="shared" si="85"/>
        <v>0</v>
      </c>
      <c r="J226" s="78">
        <f t="shared" si="85"/>
        <v>0</v>
      </c>
      <c r="K226" s="71"/>
      <c r="L226" s="71"/>
      <c r="M226" s="71"/>
      <c r="N226" s="71"/>
      <c r="O226" s="71"/>
      <c r="P226" s="71"/>
      <c r="Q226" s="71"/>
      <c r="R226" s="71"/>
      <c r="S226" s="71"/>
      <c r="T226" s="71"/>
      <c r="U226" s="71"/>
      <c r="V226" s="71"/>
      <c r="W226" s="71"/>
    </row>
    <row r="227" spans="1:23" ht="15.75" customHeight="1">
      <c r="A227" s="76">
        <f t="shared" si="56"/>
        <v>0</v>
      </c>
      <c r="B227" s="76"/>
      <c r="C227" s="77"/>
      <c r="D227" s="78">
        <f t="shared" ref="D227:J227" si="86">C92*$C227*D$124</f>
        <v>0</v>
      </c>
      <c r="E227" s="78">
        <f t="shared" si="86"/>
        <v>0</v>
      </c>
      <c r="F227" s="78">
        <f t="shared" si="86"/>
        <v>0</v>
      </c>
      <c r="G227" s="78">
        <f t="shared" si="86"/>
        <v>0</v>
      </c>
      <c r="H227" s="78">
        <f t="shared" si="86"/>
        <v>0</v>
      </c>
      <c r="I227" s="78">
        <f t="shared" si="86"/>
        <v>0</v>
      </c>
      <c r="J227" s="78">
        <f t="shared" si="86"/>
        <v>0</v>
      </c>
      <c r="K227" s="71"/>
      <c r="L227" s="71"/>
      <c r="M227" s="71"/>
      <c r="N227" s="71"/>
      <c r="O227" s="71"/>
      <c r="P227" s="71"/>
      <c r="Q227" s="71"/>
      <c r="R227" s="71"/>
      <c r="S227" s="71"/>
      <c r="T227" s="71"/>
      <c r="U227" s="71"/>
      <c r="V227" s="71"/>
      <c r="W227" s="71"/>
    </row>
    <row r="228" spans="1:23" ht="15.75" customHeight="1">
      <c r="A228" s="76">
        <f t="shared" si="56"/>
        <v>0</v>
      </c>
      <c r="B228" s="76"/>
      <c r="C228" s="77"/>
      <c r="D228" s="78">
        <f t="shared" ref="D228:J228" si="87">C93*$C228*D$124</f>
        <v>0</v>
      </c>
      <c r="E228" s="78">
        <f t="shared" si="87"/>
        <v>0</v>
      </c>
      <c r="F228" s="78">
        <f t="shared" si="87"/>
        <v>0</v>
      </c>
      <c r="G228" s="78">
        <f t="shared" si="87"/>
        <v>0</v>
      </c>
      <c r="H228" s="78">
        <f t="shared" si="87"/>
        <v>0</v>
      </c>
      <c r="I228" s="78">
        <f t="shared" si="87"/>
        <v>0</v>
      </c>
      <c r="J228" s="78">
        <f t="shared" si="87"/>
        <v>0</v>
      </c>
      <c r="K228" s="71"/>
      <c r="L228" s="71"/>
      <c r="M228" s="71"/>
      <c r="N228" s="71"/>
      <c r="O228" s="71"/>
      <c r="P228" s="71"/>
      <c r="Q228" s="71"/>
      <c r="R228" s="71"/>
      <c r="S228" s="71"/>
      <c r="T228" s="71"/>
      <c r="U228" s="71"/>
      <c r="V228" s="71"/>
      <c r="W228" s="71"/>
    </row>
    <row r="229" spans="1:23" ht="15.75" customHeight="1">
      <c r="A229" s="76">
        <f t="shared" si="56"/>
        <v>0</v>
      </c>
      <c r="B229" s="76"/>
      <c r="C229" s="77"/>
      <c r="D229" s="78">
        <f t="shared" ref="D229:J229" si="88">C94*$C229*D$124</f>
        <v>0</v>
      </c>
      <c r="E229" s="78">
        <f t="shared" si="88"/>
        <v>0</v>
      </c>
      <c r="F229" s="78">
        <f t="shared" si="88"/>
        <v>0</v>
      </c>
      <c r="G229" s="78">
        <f t="shared" si="88"/>
        <v>0</v>
      </c>
      <c r="H229" s="78">
        <f t="shared" si="88"/>
        <v>0</v>
      </c>
      <c r="I229" s="78">
        <f t="shared" si="88"/>
        <v>0</v>
      </c>
      <c r="J229" s="78">
        <f t="shared" si="88"/>
        <v>0</v>
      </c>
      <c r="K229" s="71"/>
      <c r="L229" s="71"/>
      <c r="M229" s="71"/>
      <c r="N229" s="71"/>
      <c r="O229" s="71"/>
      <c r="P229" s="71"/>
      <c r="Q229" s="71"/>
      <c r="R229" s="71"/>
      <c r="S229" s="71"/>
      <c r="T229" s="71"/>
      <c r="U229" s="71"/>
      <c r="V229" s="71"/>
      <c r="W229" s="71"/>
    </row>
    <row r="230" spans="1:23" ht="15.75" customHeight="1">
      <c r="A230" s="76" t="str">
        <f t="shared" si="56"/>
        <v>Onion</v>
      </c>
      <c r="B230" s="76"/>
      <c r="C230" s="77"/>
      <c r="D230" s="78">
        <f t="shared" ref="D230:J230" si="89">C95*$C230*D$124</f>
        <v>0</v>
      </c>
      <c r="E230" s="78">
        <f t="shared" si="89"/>
        <v>0</v>
      </c>
      <c r="F230" s="78">
        <f t="shared" si="89"/>
        <v>0</v>
      </c>
      <c r="G230" s="78">
        <f t="shared" si="89"/>
        <v>0</v>
      </c>
      <c r="H230" s="78">
        <f t="shared" si="89"/>
        <v>0</v>
      </c>
      <c r="I230" s="78">
        <f t="shared" si="89"/>
        <v>0</v>
      </c>
      <c r="J230" s="78">
        <f t="shared" si="89"/>
        <v>0</v>
      </c>
      <c r="K230" s="71"/>
      <c r="L230" s="71"/>
      <c r="M230" s="71"/>
      <c r="N230" s="71"/>
      <c r="O230" s="71"/>
      <c r="P230" s="71"/>
      <c r="Q230" s="71"/>
      <c r="R230" s="71"/>
      <c r="S230" s="71"/>
      <c r="T230" s="71"/>
      <c r="U230" s="71"/>
      <c r="V230" s="71"/>
      <c r="W230" s="71"/>
    </row>
    <row r="231" spans="1:23" ht="15.75" customHeight="1">
      <c r="A231" s="76" t="str">
        <f t="shared" si="56"/>
        <v>Tomato</v>
      </c>
      <c r="B231" s="76"/>
      <c r="C231" s="77"/>
      <c r="D231" s="78">
        <f t="shared" ref="D231:J231" si="90">C96*$C231*D$124</f>
        <v>0</v>
      </c>
      <c r="E231" s="78">
        <f t="shared" si="90"/>
        <v>0</v>
      </c>
      <c r="F231" s="78">
        <f t="shared" si="90"/>
        <v>0</v>
      </c>
      <c r="G231" s="78">
        <f t="shared" si="90"/>
        <v>0</v>
      </c>
      <c r="H231" s="78">
        <f t="shared" si="90"/>
        <v>0</v>
      </c>
      <c r="I231" s="78">
        <f t="shared" si="90"/>
        <v>0</v>
      </c>
      <c r="J231" s="78">
        <f t="shared" si="90"/>
        <v>0</v>
      </c>
      <c r="K231" s="71"/>
      <c r="L231" s="71"/>
      <c r="M231" s="71"/>
      <c r="N231" s="71"/>
      <c r="O231" s="71"/>
      <c r="P231" s="71"/>
      <c r="Q231" s="71"/>
      <c r="R231" s="71"/>
      <c r="S231" s="71"/>
      <c r="T231" s="71"/>
      <c r="U231" s="71"/>
      <c r="V231" s="71"/>
      <c r="W231" s="71"/>
    </row>
    <row r="232" spans="1:23" ht="15.75" customHeight="1">
      <c r="A232" s="76" t="str">
        <f t="shared" si="56"/>
        <v>Okra</v>
      </c>
      <c r="B232" s="76"/>
      <c r="C232" s="77"/>
      <c r="D232" s="78">
        <f t="shared" ref="D232:J232" si="91">C97*$C232*D$124</f>
        <v>0</v>
      </c>
      <c r="E232" s="78">
        <f t="shared" si="91"/>
        <v>0</v>
      </c>
      <c r="F232" s="78">
        <f t="shared" si="91"/>
        <v>0</v>
      </c>
      <c r="G232" s="78">
        <f t="shared" si="91"/>
        <v>0</v>
      </c>
      <c r="H232" s="78">
        <f t="shared" si="91"/>
        <v>0</v>
      </c>
      <c r="I232" s="78">
        <f t="shared" si="91"/>
        <v>0</v>
      </c>
      <c r="J232" s="78">
        <f t="shared" si="91"/>
        <v>0</v>
      </c>
      <c r="K232" s="71"/>
      <c r="L232" s="71"/>
      <c r="M232" s="71"/>
      <c r="N232" s="71"/>
      <c r="O232" s="71"/>
      <c r="P232" s="71"/>
      <c r="Q232" s="71"/>
      <c r="R232" s="71"/>
      <c r="S232" s="71"/>
      <c r="T232" s="71"/>
      <c r="U232" s="71"/>
      <c r="V232" s="71"/>
      <c r="W232" s="71"/>
    </row>
    <row r="233" spans="1:23" ht="15.75" customHeight="1">
      <c r="A233" s="76" t="str">
        <f t="shared" si="56"/>
        <v>Chilli</v>
      </c>
      <c r="B233" s="76"/>
      <c r="C233" s="77"/>
      <c r="D233" s="78">
        <f t="shared" ref="D233:J233" si="92">C98*$C233*D$124</f>
        <v>0</v>
      </c>
      <c r="E233" s="78">
        <f t="shared" si="92"/>
        <v>0</v>
      </c>
      <c r="F233" s="78">
        <f t="shared" si="92"/>
        <v>0</v>
      </c>
      <c r="G233" s="78">
        <f t="shared" si="92"/>
        <v>0</v>
      </c>
      <c r="H233" s="78">
        <f t="shared" si="92"/>
        <v>0</v>
      </c>
      <c r="I233" s="78">
        <f t="shared" si="92"/>
        <v>0</v>
      </c>
      <c r="J233" s="78">
        <f t="shared" si="92"/>
        <v>0</v>
      </c>
      <c r="K233" s="71"/>
      <c r="L233" s="71"/>
      <c r="M233" s="71"/>
      <c r="N233" s="71"/>
      <c r="O233" s="71"/>
      <c r="P233" s="71"/>
      <c r="Q233" s="71"/>
      <c r="R233" s="71"/>
      <c r="S233" s="71"/>
      <c r="T233" s="71"/>
      <c r="U233" s="71"/>
      <c r="V233" s="71"/>
      <c r="W233" s="71"/>
    </row>
    <row r="234" spans="1:23" ht="15.75" customHeight="1">
      <c r="A234" s="76" t="str">
        <f t="shared" si="56"/>
        <v>Brinjal</v>
      </c>
      <c r="B234" s="76"/>
      <c r="C234" s="77"/>
      <c r="D234" s="78">
        <f t="shared" ref="D234:J234" si="93">C99*$C234*D$124</f>
        <v>0</v>
      </c>
      <c r="E234" s="78">
        <f t="shared" si="93"/>
        <v>0</v>
      </c>
      <c r="F234" s="78">
        <f t="shared" si="93"/>
        <v>0</v>
      </c>
      <c r="G234" s="78">
        <f t="shared" si="93"/>
        <v>0</v>
      </c>
      <c r="H234" s="78">
        <f t="shared" si="93"/>
        <v>0</v>
      </c>
      <c r="I234" s="78">
        <f t="shared" si="93"/>
        <v>0</v>
      </c>
      <c r="J234" s="78">
        <f t="shared" si="93"/>
        <v>0</v>
      </c>
      <c r="K234" s="71"/>
      <c r="L234" s="71"/>
      <c r="M234" s="71"/>
      <c r="N234" s="71"/>
      <c r="O234" s="71"/>
      <c r="P234" s="71"/>
      <c r="Q234" s="71"/>
      <c r="R234" s="71"/>
      <c r="S234" s="71"/>
      <c r="T234" s="71"/>
      <c r="U234" s="71"/>
      <c r="V234" s="71"/>
      <c r="W234" s="71"/>
    </row>
    <row r="235" spans="1:23" ht="15.75" customHeight="1">
      <c r="A235" s="76">
        <f t="shared" si="56"/>
        <v>0</v>
      </c>
      <c r="B235" s="76"/>
      <c r="C235" s="77"/>
      <c r="D235" s="78">
        <f t="shared" ref="D235:J235" si="94">C100*$C235*D$124</f>
        <v>0</v>
      </c>
      <c r="E235" s="78">
        <f t="shared" si="94"/>
        <v>0</v>
      </c>
      <c r="F235" s="78">
        <f t="shared" si="94"/>
        <v>0</v>
      </c>
      <c r="G235" s="78">
        <f t="shared" si="94"/>
        <v>0</v>
      </c>
      <c r="H235" s="78">
        <f t="shared" si="94"/>
        <v>0</v>
      </c>
      <c r="I235" s="78">
        <f t="shared" si="94"/>
        <v>0</v>
      </c>
      <c r="J235" s="78">
        <f t="shared" si="94"/>
        <v>0</v>
      </c>
      <c r="K235" s="71"/>
      <c r="L235" s="71"/>
      <c r="M235" s="71"/>
      <c r="N235" s="71"/>
      <c r="O235" s="71"/>
      <c r="P235" s="71"/>
      <c r="Q235" s="71"/>
      <c r="R235" s="71"/>
      <c r="S235" s="71"/>
      <c r="T235" s="71"/>
      <c r="U235" s="71"/>
      <c r="V235" s="71"/>
      <c r="W235" s="71"/>
    </row>
    <row r="236" spans="1:23" ht="15.75" customHeight="1">
      <c r="A236" s="76">
        <f t="shared" si="56"/>
        <v>0</v>
      </c>
      <c r="B236" s="76"/>
      <c r="C236" s="77"/>
      <c r="D236" s="78">
        <f t="shared" ref="D236:J236" si="95">C101*$C236*D$124</f>
        <v>0</v>
      </c>
      <c r="E236" s="78">
        <f t="shared" si="95"/>
        <v>0</v>
      </c>
      <c r="F236" s="78">
        <f t="shared" si="95"/>
        <v>0</v>
      </c>
      <c r="G236" s="78">
        <f t="shared" si="95"/>
        <v>0</v>
      </c>
      <c r="H236" s="78">
        <f t="shared" si="95"/>
        <v>0</v>
      </c>
      <c r="I236" s="78">
        <f t="shared" si="95"/>
        <v>0</v>
      </c>
      <c r="J236" s="78">
        <f t="shared" si="95"/>
        <v>0</v>
      </c>
      <c r="K236" s="71"/>
      <c r="L236" s="71"/>
      <c r="M236" s="71"/>
      <c r="N236" s="71"/>
      <c r="O236" s="71"/>
      <c r="P236" s="71"/>
      <c r="Q236" s="71"/>
      <c r="R236" s="71"/>
      <c r="S236" s="71"/>
      <c r="T236" s="71"/>
      <c r="U236" s="71"/>
      <c r="V236" s="71"/>
      <c r="W236" s="71"/>
    </row>
    <row r="237" spans="1:23" ht="15.75" customHeight="1">
      <c r="A237" s="76">
        <f t="shared" si="56"/>
        <v>0</v>
      </c>
      <c r="B237" s="76"/>
      <c r="C237" s="77"/>
      <c r="D237" s="78">
        <f t="shared" ref="D237:J237" si="96">C102*$C237*D$124</f>
        <v>0</v>
      </c>
      <c r="E237" s="78">
        <f t="shared" si="96"/>
        <v>0</v>
      </c>
      <c r="F237" s="78">
        <f t="shared" si="96"/>
        <v>0</v>
      </c>
      <c r="G237" s="78">
        <f t="shared" si="96"/>
        <v>0</v>
      </c>
      <c r="H237" s="78">
        <f t="shared" si="96"/>
        <v>0</v>
      </c>
      <c r="I237" s="78">
        <f t="shared" si="96"/>
        <v>0</v>
      </c>
      <c r="J237" s="78">
        <f t="shared" si="96"/>
        <v>0</v>
      </c>
      <c r="K237" s="71"/>
      <c r="L237" s="71"/>
      <c r="M237" s="71"/>
      <c r="N237" s="71"/>
      <c r="O237" s="71"/>
      <c r="P237" s="71"/>
      <c r="Q237" s="71"/>
      <c r="R237" s="71"/>
      <c r="S237" s="71"/>
      <c r="T237" s="71"/>
      <c r="U237" s="71"/>
      <c r="V237" s="71"/>
      <c r="W237" s="71"/>
    </row>
    <row r="238" spans="1:23" ht="15.75" customHeight="1">
      <c r="A238" s="76">
        <f t="shared" si="56"/>
        <v>0</v>
      </c>
      <c r="B238" s="76"/>
      <c r="C238" s="77"/>
      <c r="D238" s="78">
        <f t="shared" ref="D238:J238" si="97">C103*$C238*D$124</f>
        <v>0</v>
      </c>
      <c r="E238" s="78">
        <f t="shared" si="97"/>
        <v>0</v>
      </c>
      <c r="F238" s="78">
        <f t="shared" si="97"/>
        <v>0</v>
      </c>
      <c r="G238" s="78">
        <f t="shared" si="97"/>
        <v>0</v>
      </c>
      <c r="H238" s="78">
        <f t="shared" si="97"/>
        <v>0</v>
      </c>
      <c r="I238" s="78">
        <f t="shared" si="97"/>
        <v>0</v>
      </c>
      <c r="J238" s="78">
        <f t="shared" si="97"/>
        <v>0</v>
      </c>
      <c r="K238" s="71"/>
      <c r="L238" s="71"/>
      <c r="M238" s="71"/>
      <c r="N238" s="71"/>
      <c r="O238" s="71"/>
      <c r="P238" s="71"/>
      <c r="Q238" s="71"/>
      <c r="R238" s="71"/>
      <c r="S238" s="71"/>
      <c r="T238" s="71"/>
      <c r="U238" s="71"/>
      <c r="V238" s="71"/>
      <c r="W238" s="71"/>
    </row>
    <row r="239" spans="1:23" ht="15.75" customHeight="1">
      <c r="A239" s="76" t="str">
        <f t="shared" ref="A239:A243" si="98">A175</f>
        <v>Pomegranate</v>
      </c>
      <c r="B239" s="76"/>
      <c r="C239" s="77"/>
      <c r="D239" s="78">
        <f t="shared" ref="D239:J239" si="99">C107*$C239*D$124</f>
        <v>0</v>
      </c>
      <c r="E239" s="78">
        <f t="shared" si="99"/>
        <v>0</v>
      </c>
      <c r="F239" s="78">
        <f t="shared" si="99"/>
        <v>0</v>
      </c>
      <c r="G239" s="78">
        <f t="shared" si="99"/>
        <v>0</v>
      </c>
      <c r="H239" s="78">
        <f t="shared" si="99"/>
        <v>0</v>
      </c>
      <c r="I239" s="78">
        <f t="shared" si="99"/>
        <v>0</v>
      </c>
      <c r="J239" s="78">
        <f t="shared" si="99"/>
        <v>0</v>
      </c>
      <c r="K239" s="71"/>
      <c r="L239" s="71"/>
      <c r="M239" s="71"/>
      <c r="N239" s="71"/>
      <c r="O239" s="71"/>
      <c r="P239" s="71"/>
      <c r="Q239" s="71"/>
      <c r="R239" s="71"/>
      <c r="S239" s="71"/>
      <c r="T239" s="71"/>
      <c r="U239" s="71"/>
      <c r="V239" s="71"/>
      <c r="W239" s="71"/>
    </row>
    <row r="240" spans="1:23" ht="15.75" customHeight="1">
      <c r="A240" s="76" t="str">
        <f t="shared" si="98"/>
        <v>Custard Apple</v>
      </c>
      <c r="B240" s="76"/>
      <c r="C240" s="77"/>
      <c r="D240" s="78">
        <f t="shared" ref="D240:J240" si="100">C108*$C240*D$124</f>
        <v>0</v>
      </c>
      <c r="E240" s="78">
        <f t="shared" si="100"/>
        <v>0</v>
      </c>
      <c r="F240" s="78">
        <f t="shared" si="100"/>
        <v>0</v>
      </c>
      <c r="G240" s="78">
        <f t="shared" si="100"/>
        <v>0</v>
      </c>
      <c r="H240" s="78">
        <f t="shared" si="100"/>
        <v>0</v>
      </c>
      <c r="I240" s="78">
        <f t="shared" si="100"/>
        <v>0</v>
      </c>
      <c r="J240" s="78">
        <f t="shared" si="100"/>
        <v>0</v>
      </c>
      <c r="K240" s="71"/>
      <c r="L240" s="71"/>
      <c r="M240" s="71"/>
      <c r="N240" s="71"/>
      <c r="O240" s="71"/>
      <c r="P240" s="71"/>
      <c r="Q240" s="71"/>
      <c r="R240" s="71"/>
      <c r="S240" s="71"/>
      <c r="T240" s="71"/>
      <c r="U240" s="71"/>
      <c r="V240" s="71"/>
      <c r="W240" s="71"/>
    </row>
    <row r="241" spans="1:23" ht="15.75" customHeight="1">
      <c r="A241" s="76" t="str">
        <f t="shared" si="98"/>
        <v>Guava</v>
      </c>
      <c r="B241" s="76"/>
      <c r="C241" s="77"/>
      <c r="D241" s="78">
        <f t="shared" ref="D241:J241" si="101">C109*$C241*D$124</f>
        <v>0</v>
      </c>
      <c r="E241" s="78">
        <f t="shared" si="101"/>
        <v>0</v>
      </c>
      <c r="F241" s="78">
        <f t="shared" si="101"/>
        <v>0</v>
      </c>
      <c r="G241" s="78">
        <f t="shared" si="101"/>
        <v>0</v>
      </c>
      <c r="H241" s="78">
        <f t="shared" si="101"/>
        <v>0</v>
      </c>
      <c r="I241" s="78">
        <f t="shared" si="101"/>
        <v>0</v>
      </c>
      <c r="J241" s="78">
        <f t="shared" si="101"/>
        <v>0</v>
      </c>
      <c r="K241" s="71"/>
      <c r="L241" s="71"/>
      <c r="M241" s="71"/>
      <c r="N241" s="71"/>
      <c r="O241" s="71"/>
      <c r="P241" s="71"/>
      <c r="Q241" s="71"/>
      <c r="R241" s="71"/>
      <c r="S241" s="71"/>
      <c r="T241" s="71"/>
      <c r="U241" s="71"/>
      <c r="V241" s="71"/>
      <c r="W241" s="71"/>
    </row>
    <row r="242" spans="1:23" ht="15.75" customHeight="1">
      <c r="A242" s="76" t="str">
        <f t="shared" si="98"/>
        <v>Citrus</v>
      </c>
      <c r="B242" s="76"/>
      <c r="C242" s="77"/>
      <c r="D242" s="78">
        <f t="shared" ref="D242:J242" si="102">C110*$C242*D$124</f>
        <v>0</v>
      </c>
      <c r="E242" s="78">
        <f t="shared" si="102"/>
        <v>0</v>
      </c>
      <c r="F242" s="78">
        <f t="shared" si="102"/>
        <v>0</v>
      </c>
      <c r="G242" s="78">
        <f t="shared" si="102"/>
        <v>0</v>
      </c>
      <c r="H242" s="78">
        <f t="shared" si="102"/>
        <v>0</v>
      </c>
      <c r="I242" s="78">
        <f t="shared" si="102"/>
        <v>0</v>
      </c>
      <c r="J242" s="78">
        <f t="shared" si="102"/>
        <v>0</v>
      </c>
      <c r="K242" s="71"/>
      <c r="L242" s="71"/>
      <c r="M242" s="71"/>
      <c r="N242" s="71"/>
      <c r="O242" s="71"/>
      <c r="P242" s="71"/>
      <c r="Q242" s="71"/>
      <c r="R242" s="71"/>
      <c r="S242" s="71"/>
      <c r="T242" s="71"/>
      <c r="U242" s="71"/>
      <c r="V242" s="71"/>
      <c r="W242" s="71"/>
    </row>
    <row r="243" spans="1:23" ht="15.75" customHeight="1">
      <c r="A243" s="76">
        <f t="shared" si="98"/>
        <v>0</v>
      </c>
      <c r="B243" s="76"/>
      <c r="C243" s="77"/>
      <c r="D243" s="78">
        <f t="shared" ref="D243:J243" si="103">C111*$C243*D$124</f>
        <v>0</v>
      </c>
      <c r="E243" s="78">
        <f t="shared" si="103"/>
        <v>0</v>
      </c>
      <c r="F243" s="78">
        <f t="shared" si="103"/>
        <v>0</v>
      </c>
      <c r="G243" s="78">
        <f t="shared" si="103"/>
        <v>0</v>
      </c>
      <c r="H243" s="78">
        <f t="shared" si="103"/>
        <v>0</v>
      </c>
      <c r="I243" s="78">
        <f t="shared" si="103"/>
        <v>0</v>
      </c>
      <c r="J243" s="78">
        <f t="shared" si="103"/>
        <v>0</v>
      </c>
      <c r="K243" s="71"/>
      <c r="L243" s="71"/>
      <c r="M243" s="71"/>
      <c r="N243" s="71"/>
      <c r="O243" s="71"/>
      <c r="P243" s="71"/>
      <c r="Q243" s="71"/>
      <c r="R243" s="71"/>
      <c r="S243" s="71"/>
      <c r="T243" s="71"/>
      <c r="U243" s="71"/>
      <c r="V243" s="71"/>
      <c r="W243" s="71"/>
    </row>
    <row r="244" spans="1:23" ht="15.75" customHeight="1">
      <c r="A244" s="76" t="str">
        <f t="shared" ref="A244:A247" si="104">A181</f>
        <v>Fertilizer(Rate/KG)</v>
      </c>
      <c r="B244" s="76"/>
      <c r="C244" s="78"/>
      <c r="D244" s="78"/>
      <c r="E244" s="78"/>
      <c r="F244" s="78"/>
      <c r="G244" s="78"/>
      <c r="H244" s="78"/>
      <c r="I244" s="78"/>
      <c r="J244" s="78"/>
      <c r="K244" s="71"/>
      <c r="L244" s="71"/>
      <c r="M244" s="71"/>
      <c r="N244" s="71"/>
      <c r="O244" s="71"/>
      <c r="P244" s="71"/>
      <c r="Q244" s="71"/>
      <c r="R244" s="71"/>
      <c r="S244" s="71"/>
      <c r="T244" s="71"/>
      <c r="U244" s="71"/>
      <c r="V244" s="71"/>
      <c r="W244" s="71"/>
    </row>
    <row r="245" spans="1:23" ht="15.75" customHeight="1">
      <c r="A245" s="76" t="str">
        <f t="shared" si="104"/>
        <v>SSP</v>
      </c>
      <c r="B245" s="76"/>
      <c r="C245" s="77">
        <v>6</v>
      </c>
      <c r="D245" s="78">
        <f t="shared" ref="D245:J245" si="105">C114*$C$245*D124</f>
        <v>1755000</v>
      </c>
      <c r="E245" s="78">
        <f t="shared" si="105"/>
        <v>1984500.0000000005</v>
      </c>
      <c r="F245" s="78">
        <f t="shared" si="105"/>
        <v>2232562.5000000005</v>
      </c>
      <c r="G245" s="78">
        <f t="shared" si="105"/>
        <v>2500470.0000000014</v>
      </c>
      <c r="H245" s="78">
        <f t="shared" si="105"/>
        <v>2789586.8437500019</v>
      </c>
      <c r="I245" s="78">
        <f t="shared" si="105"/>
        <v>3101364.1968750022</v>
      </c>
      <c r="J245" s="78">
        <f t="shared" si="105"/>
        <v>3437345.3182031275</v>
      </c>
      <c r="K245" s="71"/>
      <c r="L245" s="71"/>
      <c r="M245" s="71"/>
      <c r="N245" s="71"/>
      <c r="O245" s="71"/>
      <c r="P245" s="71"/>
      <c r="Q245" s="71"/>
      <c r="R245" s="71"/>
      <c r="S245" s="71"/>
      <c r="T245" s="71"/>
      <c r="U245" s="71"/>
      <c r="V245" s="71"/>
      <c r="W245" s="71"/>
    </row>
    <row r="246" spans="1:23" ht="15.75" customHeight="1">
      <c r="A246" s="76" t="str">
        <f t="shared" si="104"/>
        <v>Urea</v>
      </c>
      <c r="B246" s="76"/>
      <c r="C246" s="77">
        <v>5</v>
      </c>
      <c r="D246" s="78">
        <f t="shared" ref="D246:J246" si="106">C115*$C$246*D124</f>
        <v>438750</v>
      </c>
      <c r="E246" s="78">
        <f t="shared" si="106"/>
        <v>496125.00000000006</v>
      </c>
      <c r="F246" s="78">
        <f t="shared" si="106"/>
        <v>558140.62500000012</v>
      </c>
      <c r="G246" s="78">
        <f t="shared" si="106"/>
        <v>625117.50000000023</v>
      </c>
      <c r="H246" s="78">
        <f t="shared" si="106"/>
        <v>697396.71093750023</v>
      </c>
      <c r="I246" s="78">
        <f t="shared" si="106"/>
        <v>775341.04921875033</v>
      </c>
      <c r="J246" s="78">
        <f t="shared" si="106"/>
        <v>859336.32955078187</v>
      </c>
      <c r="K246" s="71"/>
      <c r="L246" s="71"/>
      <c r="M246" s="71"/>
      <c r="N246" s="71"/>
      <c r="O246" s="71"/>
      <c r="P246" s="71"/>
      <c r="Q246" s="71"/>
      <c r="R246" s="71"/>
      <c r="S246" s="71"/>
      <c r="T246" s="71"/>
      <c r="U246" s="71"/>
      <c r="V246" s="71"/>
      <c r="W246" s="71"/>
    </row>
    <row r="247" spans="1:23" ht="15.75" customHeight="1">
      <c r="A247" s="76" t="str">
        <f t="shared" si="104"/>
        <v>DAP</v>
      </c>
      <c r="B247" s="76"/>
      <c r="C247" s="77">
        <v>27</v>
      </c>
      <c r="D247" s="78">
        <f t="shared" ref="D247:J247" si="107">C116*$C$247*D124</f>
        <v>2369250</v>
      </c>
      <c r="E247" s="78">
        <f t="shared" si="107"/>
        <v>2679075.0000000005</v>
      </c>
      <c r="F247" s="78">
        <f t="shared" si="107"/>
        <v>3013959.3750000005</v>
      </c>
      <c r="G247" s="78">
        <f t="shared" si="107"/>
        <v>3375634.5000000014</v>
      </c>
      <c r="H247" s="78">
        <f t="shared" si="107"/>
        <v>3765942.239062502</v>
      </c>
      <c r="I247" s="78">
        <f t="shared" si="107"/>
        <v>4186841.6657812526</v>
      </c>
      <c r="J247" s="78">
        <f t="shared" si="107"/>
        <v>4640416.1795742223</v>
      </c>
      <c r="K247" s="71"/>
      <c r="L247" s="71"/>
      <c r="M247" s="71"/>
      <c r="N247" s="71"/>
      <c r="O247" s="71"/>
      <c r="P247" s="71"/>
      <c r="Q247" s="71"/>
      <c r="R247" s="71"/>
      <c r="S247" s="71"/>
      <c r="T247" s="71"/>
      <c r="U247" s="71"/>
      <c r="V247" s="71"/>
      <c r="W247" s="71"/>
    </row>
    <row r="248" spans="1:23" ht="15.75" customHeight="1">
      <c r="A248" s="76"/>
      <c r="B248" s="76"/>
      <c r="C248" s="78"/>
      <c r="D248" s="78"/>
      <c r="E248" s="78"/>
      <c r="F248" s="78"/>
      <c r="G248" s="78"/>
      <c r="H248" s="78"/>
      <c r="I248" s="78"/>
      <c r="J248" s="78"/>
      <c r="K248" s="71"/>
      <c r="L248" s="71"/>
      <c r="M248" s="71"/>
      <c r="N248" s="71"/>
      <c r="O248" s="71"/>
      <c r="P248" s="71"/>
      <c r="Q248" s="71"/>
      <c r="R248" s="71"/>
      <c r="S248" s="71"/>
      <c r="T248" s="71"/>
      <c r="U248" s="71"/>
      <c r="V248" s="71"/>
      <c r="W248" s="71"/>
    </row>
    <row r="249" spans="1:23" ht="15.75" customHeight="1">
      <c r="A249" s="76" t="str">
        <f t="shared" ref="A249:A251" si="108">A186</f>
        <v>Pesticide</v>
      </c>
      <c r="B249" s="76"/>
      <c r="C249" s="78"/>
      <c r="D249" s="78"/>
      <c r="E249" s="78"/>
      <c r="F249" s="78"/>
      <c r="G249" s="78"/>
      <c r="H249" s="78"/>
      <c r="I249" s="78"/>
      <c r="J249" s="78"/>
      <c r="K249" s="71"/>
      <c r="L249" s="71"/>
      <c r="M249" s="71"/>
      <c r="N249" s="71"/>
      <c r="O249" s="71"/>
      <c r="P249" s="71"/>
      <c r="Q249" s="71"/>
      <c r="R249" s="71"/>
      <c r="S249" s="71"/>
      <c r="T249" s="71"/>
      <c r="U249" s="71"/>
      <c r="V249" s="71"/>
      <c r="W249" s="71"/>
    </row>
    <row r="250" spans="1:23" ht="15.75" customHeight="1">
      <c r="A250" s="76" t="str">
        <f t="shared" si="108"/>
        <v>Dupont Coragen</v>
      </c>
      <c r="B250" s="76"/>
      <c r="C250" s="77">
        <v>2800</v>
      </c>
      <c r="D250" s="78">
        <f t="shared" ref="D250:J250" si="109">C118*$C$250*D124</f>
        <v>1638000</v>
      </c>
      <c r="E250" s="78">
        <f t="shared" si="109"/>
        <v>1852200.0000000002</v>
      </c>
      <c r="F250" s="78">
        <f t="shared" si="109"/>
        <v>2083725.0000000002</v>
      </c>
      <c r="G250" s="78">
        <f t="shared" si="109"/>
        <v>2333772.0000000009</v>
      </c>
      <c r="H250" s="78">
        <f t="shared" si="109"/>
        <v>2603614.3875000011</v>
      </c>
      <c r="I250" s="78">
        <f t="shared" si="109"/>
        <v>2894606.5837500016</v>
      </c>
      <c r="J250" s="78">
        <f t="shared" si="109"/>
        <v>3208188.9636562527</v>
      </c>
      <c r="K250" s="71"/>
      <c r="L250" s="71"/>
      <c r="M250" s="71"/>
      <c r="N250" s="71"/>
      <c r="O250" s="71"/>
      <c r="P250" s="71"/>
      <c r="Q250" s="71"/>
      <c r="R250" s="71"/>
      <c r="S250" s="71"/>
      <c r="T250" s="71"/>
      <c r="U250" s="71"/>
      <c r="V250" s="71"/>
      <c r="W250" s="71"/>
    </row>
    <row r="251" spans="1:23" ht="15.75" customHeight="1">
      <c r="A251" s="76" t="str">
        <f t="shared" si="108"/>
        <v>Confidor Boyer</v>
      </c>
      <c r="B251" s="76"/>
      <c r="C251" s="77">
        <v>2000</v>
      </c>
      <c r="D251" s="78">
        <f t="shared" ref="D251:J251" si="110">C119*$C$251*D124</f>
        <v>2925000</v>
      </c>
      <c r="E251" s="78">
        <f t="shared" si="110"/>
        <v>3307500.0000000005</v>
      </c>
      <c r="F251" s="78">
        <f t="shared" si="110"/>
        <v>3720937.5000000005</v>
      </c>
      <c r="G251" s="78">
        <f t="shared" si="110"/>
        <v>4167450.0000000014</v>
      </c>
      <c r="H251" s="78">
        <f t="shared" si="110"/>
        <v>4649311.4062500019</v>
      </c>
      <c r="I251" s="78">
        <f t="shared" si="110"/>
        <v>5168940.3281250028</v>
      </c>
      <c r="J251" s="78">
        <f t="shared" si="110"/>
        <v>5728908.8636718793</v>
      </c>
      <c r="K251" s="71"/>
      <c r="L251" s="71"/>
      <c r="M251" s="71"/>
      <c r="N251" s="71"/>
      <c r="O251" s="71"/>
      <c r="P251" s="71"/>
      <c r="Q251" s="71"/>
      <c r="R251" s="71"/>
      <c r="S251" s="71"/>
      <c r="T251" s="71"/>
      <c r="U251" s="71"/>
      <c r="V251" s="71"/>
      <c r="W251" s="71"/>
    </row>
    <row r="252" spans="1:23" ht="15.75" customHeight="1">
      <c r="A252" s="76"/>
      <c r="B252" s="76"/>
      <c r="C252" s="78"/>
      <c r="D252" s="78"/>
      <c r="E252" s="78"/>
      <c r="F252" s="78"/>
      <c r="G252" s="78"/>
      <c r="H252" s="78"/>
      <c r="I252" s="78"/>
      <c r="J252" s="78"/>
      <c r="K252" s="71"/>
      <c r="L252" s="71"/>
      <c r="M252" s="71"/>
      <c r="N252" s="71"/>
      <c r="O252" s="71"/>
      <c r="P252" s="71"/>
      <c r="Q252" s="71"/>
      <c r="R252" s="71"/>
      <c r="S252" s="71"/>
      <c r="T252" s="71"/>
      <c r="U252" s="71"/>
      <c r="V252" s="71"/>
      <c r="W252" s="71"/>
    </row>
    <row r="253" spans="1:23" ht="15.75" customHeight="1">
      <c r="A253" s="76" t="s">
        <v>678</v>
      </c>
      <c r="B253" s="76"/>
      <c r="C253" s="77">
        <v>10</v>
      </c>
      <c r="D253" s="78">
        <f t="shared" ref="D253:J253" si="111">(SUM(C63:C119)/50)*$C$253*D124</f>
        <v>94594.5</v>
      </c>
      <c r="E253" s="78">
        <f t="shared" si="111"/>
        <v>106964.55</v>
      </c>
      <c r="F253" s="78">
        <f t="shared" si="111"/>
        <v>120335.11875000002</v>
      </c>
      <c r="G253" s="78">
        <f t="shared" si="111"/>
        <v>134775.33300000004</v>
      </c>
      <c r="H253" s="78">
        <f t="shared" si="111"/>
        <v>150358.73087812506</v>
      </c>
      <c r="I253" s="78">
        <f t="shared" si="111"/>
        <v>167163.53021156258</v>
      </c>
      <c r="J253" s="78">
        <f t="shared" si="111"/>
        <v>185272.91265114854</v>
      </c>
      <c r="K253" s="71"/>
      <c r="L253" s="71"/>
      <c r="M253" s="71"/>
      <c r="N253" s="71"/>
      <c r="O253" s="71"/>
      <c r="P253" s="71"/>
      <c r="Q253" s="71"/>
      <c r="R253" s="71"/>
      <c r="S253" s="71"/>
      <c r="T253" s="71"/>
      <c r="U253" s="71"/>
      <c r="V253" s="71"/>
      <c r="W253" s="71"/>
    </row>
    <row r="254" spans="1:23" ht="15.75" customHeight="1">
      <c r="A254" s="76" t="s">
        <v>679</v>
      </c>
      <c r="B254" s="76"/>
      <c r="C254" s="77">
        <v>100</v>
      </c>
      <c r="D254" s="78">
        <f t="shared" ref="D254:J254" si="112">(SUM(C63:C119)/50)*$C$254*D124</f>
        <v>945945.00000000012</v>
      </c>
      <c r="E254" s="78">
        <f t="shared" si="112"/>
        <v>1069645.5</v>
      </c>
      <c r="F254" s="78">
        <f t="shared" si="112"/>
        <v>1203351.1875000002</v>
      </c>
      <c r="G254" s="78">
        <f t="shared" si="112"/>
        <v>1347753.3300000003</v>
      </c>
      <c r="H254" s="78">
        <f t="shared" si="112"/>
        <v>1503587.3087812506</v>
      </c>
      <c r="I254" s="78">
        <f t="shared" si="112"/>
        <v>1671635.3021156257</v>
      </c>
      <c r="J254" s="78">
        <f t="shared" si="112"/>
        <v>1852729.1265114855</v>
      </c>
      <c r="K254" s="71"/>
      <c r="L254" s="71"/>
      <c r="M254" s="71"/>
      <c r="N254" s="71"/>
      <c r="O254" s="71"/>
      <c r="P254" s="71"/>
      <c r="Q254" s="71"/>
      <c r="R254" s="71"/>
      <c r="S254" s="71"/>
      <c r="T254" s="71"/>
      <c r="U254" s="71"/>
      <c r="V254" s="71"/>
      <c r="W254" s="71"/>
    </row>
    <row r="255" spans="1:23" ht="15.75" customHeight="1">
      <c r="A255" s="76"/>
      <c r="B255" s="76"/>
      <c r="C255" s="77"/>
      <c r="D255" s="288"/>
      <c r="E255" s="78"/>
      <c r="F255" s="78"/>
      <c r="G255" s="78"/>
      <c r="H255" s="78"/>
      <c r="I255" s="78"/>
      <c r="J255" s="78"/>
      <c r="K255" s="71"/>
      <c r="L255" s="71"/>
      <c r="M255" s="71"/>
      <c r="N255" s="71"/>
      <c r="O255" s="71"/>
      <c r="P255" s="71"/>
      <c r="Q255" s="71"/>
      <c r="R255" s="71"/>
      <c r="S255" s="71"/>
      <c r="T255" s="71"/>
      <c r="U255" s="71"/>
      <c r="V255" s="71"/>
      <c r="W255" s="71"/>
    </row>
    <row r="256" spans="1:23" ht="15.75" customHeight="1">
      <c r="A256" s="76"/>
      <c r="B256" s="76"/>
      <c r="C256" s="77"/>
      <c r="D256" s="288"/>
      <c r="E256" s="78"/>
      <c r="F256" s="78"/>
      <c r="G256" s="78"/>
      <c r="H256" s="78"/>
      <c r="I256" s="78"/>
      <c r="J256" s="78"/>
      <c r="K256" s="71"/>
      <c r="L256" s="71"/>
      <c r="M256" s="71"/>
      <c r="N256" s="71"/>
      <c r="O256" s="71"/>
      <c r="P256" s="71"/>
      <c r="Q256" s="71"/>
      <c r="R256" s="71"/>
      <c r="S256" s="71"/>
      <c r="T256" s="71"/>
      <c r="U256" s="71"/>
      <c r="V256" s="71"/>
      <c r="W256" s="71"/>
    </row>
    <row r="257" spans="1:23" ht="15.75" customHeight="1">
      <c r="A257" s="76"/>
      <c r="B257" s="76"/>
      <c r="C257" s="77"/>
      <c r="D257" s="288"/>
      <c r="E257" s="78"/>
      <c r="F257" s="78"/>
      <c r="G257" s="78"/>
      <c r="H257" s="78"/>
      <c r="I257" s="78"/>
      <c r="J257" s="78"/>
      <c r="K257" s="71"/>
      <c r="L257" s="71"/>
      <c r="M257" s="71"/>
      <c r="N257" s="71"/>
      <c r="O257" s="71"/>
      <c r="P257" s="71"/>
      <c r="Q257" s="71"/>
      <c r="R257" s="71"/>
      <c r="S257" s="71"/>
      <c r="T257" s="71"/>
      <c r="U257" s="71"/>
      <c r="V257" s="71"/>
      <c r="W257" s="71"/>
    </row>
    <row r="258" spans="1:23" ht="15.75" customHeight="1">
      <c r="A258" s="76"/>
      <c r="B258" s="76"/>
      <c r="C258" s="77"/>
      <c r="D258" s="288"/>
      <c r="E258" s="78"/>
      <c r="F258" s="78"/>
      <c r="G258" s="78"/>
      <c r="H258" s="78"/>
      <c r="I258" s="78"/>
      <c r="J258" s="78"/>
      <c r="K258" s="71"/>
      <c r="L258" s="71"/>
      <c r="M258" s="71"/>
      <c r="N258" s="71"/>
      <c r="O258" s="71"/>
      <c r="P258" s="71"/>
      <c r="Q258" s="71"/>
      <c r="R258" s="71"/>
      <c r="S258" s="71"/>
      <c r="T258" s="71"/>
      <c r="U258" s="71"/>
      <c r="V258" s="71"/>
      <c r="W258" s="71"/>
    </row>
    <row r="259" spans="1:23" ht="15.75" customHeight="1">
      <c r="A259" s="76" t="s">
        <v>592</v>
      </c>
      <c r="B259" s="76"/>
      <c r="C259" s="78"/>
      <c r="D259" s="288"/>
      <c r="E259" s="78">
        <f>'5.Closing Stock &amp; W Capital'!F6</f>
        <v>464636.25</v>
      </c>
      <c r="F259" s="78">
        <f>'5.Closing Stock &amp; W Capital'!G6</f>
        <v>525396.37500000012</v>
      </c>
      <c r="G259" s="78">
        <f>'5.Closing Stock &amp; W Capital'!H6</f>
        <v>591070.92187500012</v>
      </c>
      <c r="H259" s="78">
        <f>'5.Closing Stock &amp; W Capital'!I6</f>
        <v>661999.43250000023</v>
      </c>
      <c r="I259" s="78">
        <f>'5.Closing Stock &amp; W Capital'!J6</f>
        <v>738543.11688281293</v>
      </c>
      <c r="J259" s="78">
        <f>'5.Closing Stock &amp; W Capital'!K6</f>
        <v>821086.17112265679</v>
      </c>
      <c r="K259" s="71"/>
      <c r="L259" s="71"/>
      <c r="M259" s="71"/>
      <c r="N259" s="71"/>
      <c r="O259" s="71"/>
      <c r="P259" s="71"/>
      <c r="Q259" s="71"/>
      <c r="R259" s="71"/>
      <c r="S259" s="71"/>
      <c r="T259" s="71"/>
      <c r="U259" s="71"/>
      <c r="V259" s="71"/>
      <c r="W259" s="71"/>
    </row>
    <row r="260" spans="1:23" ht="15.75" customHeight="1">
      <c r="A260" s="76" t="s">
        <v>593</v>
      </c>
      <c r="B260" s="76"/>
      <c r="C260" s="76"/>
      <c r="D260" s="288">
        <f>'5.Closing Stock &amp; W Capital'!E15</f>
        <v>464636.25</v>
      </c>
      <c r="E260" s="78">
        <f>'5.Closing Stock &amp; W Capital'!F15</f>
        <v>525396.37500000012</v>
      </c>
      <c r="F260" s="78">
        <f>'5.Closing Stock &amp; W Capital'!G15</f>
        <v>591070.92187500012</v>
      </c>
      <c r="G260" s="78">
        <f>'5.Closing Stock &amp; W Capital'!H15</f>
        <v>661999.43250000023</v>
      </c>
      <c r="H260" s="78">
        <f>'5.Closing Stock &amp; W Capital'!I15</f>
        <v>738543.11688281293</v>
      </c>
      <c r="I260" s="78">
        <f>'5.Closing Stock &amp; W Capital'!J15</f>
        <v>821086.17112265679</v>
      </c>
      <c r="J260" s="78">
        <f>'5.Closing Stock &amp; W Capital'!K15</f>
        <v>910037.17299427802</v>
      </c>
      <c r="K260" s="71"/>
      <c r="L260" s="71"/>
      <c r="M260" s="71"/>
      <c r="N260" s="71"/>
      <c r="O260" s="71"/>
      <c r="P260" s="71"/>
      <c r="Q260" s="71"/>
      <c r="R260" s="71"/>
      <c r="S260" s="71"/>
      <c r="T260" s="71"/>
      <c r="U260" s="71"/>
      <c r="V260" s="71"/>
      <c r="W260" s="71"/>
    </row>
    <row r="261" spans="1:23" ht="15.75" customHeight="1">
      <c r="A261" s="76"/>
      <c r="B261" s="76"/>
      <c r="C261" s="76"/>
      <c r="D261" s="71"/>
      <c r="E261" s="71"/>
      <c r="F261" s="71"/>
      <c r="G261" s="71"/>
      <c r="H261" s="71"/>
      <c r="I261" s="71"/>
      <c r="J261" s="71"/>
      <c r="K261" s="71"/>
      <c r="L261" s="71"/>
      <c r="M261" s="71"/>
      <c r="N261" s="71"/>
      <c r="O261" s="71"/>
      <c r="P261" s="71"/>
      <c r="Q261" s="71"/>
      <c r="R261" s="71"/>
      <c r="S261" s="71"/>
      <c r="T261" s="71"/>
      <c r="U261" s="71"/>
      <c r="V261" s="71"/>
      <c r="W261" s="71"/>
    </row>
    <row r="262" spans="1:23" ht="15.75" customHeight="1">
      <c r="A262" s="79" t="s">
        <v>356</v>
      </c>
      <c r="B262" s="79"/>
      <c r="C262" s="80"/>
      <c r="D262" s="80">
        <f t="shared" ref="D262:J262" si="113">SUM(D197:D258)+D259-D260</f>
        <v>9868628.25</v>
      </c>
      <c r="E262" s="80">
        <f t="shared" si="113"/>
        <v>11623777.425000003</v>
      </c>
      <c r="F262" s="80">
        <f t="shared" si="113"/>
        <v>13079430.196875002</v>
      </c>
      <c r="G262" s="80">
        <f t="shared" si="113"/>
        <v>14651588.802375004</v>
      </c>
      <c r="H262" s="80">
        <f t="shared" si="113"/>
        <v>16348264.692932822</v>
      </c>
      <c r="I262" s="80">
        <f t="shared" si="113"/>
        <v>18177979.200540479</v>
      </c>
      <c r="J262" s="80">
        <f t="shared" si="113"/>
        <v>20149794.497176569</v>
      </c>
      <c r="K262" s="71"/>
      <c r="L262" s="71"/>
      <c r="M262" s="71"/>
      <c r="N262" s="71"/>
      <c r="O262" s="71"/>
      <c r="P262" s="71"/>
      <c r="Q262" s="71"/>
      <c r="R262" s="71"/>
      <c r="S262" s="71"/>
      <c r="T262" s="71"/>
      <c r="U262" s="71"/>
      <c r="V262" s="71"/>
      <c r="W262" s="71"/>
    </row>
    <row r="263" spans="1:23" ht="15.75" customHeight="1">
      <c r="A263" s="76"/>
      <c r="B263" s="76"/>
      <c r="C263" s="78"/>
      <c r="D263" s="78"/>
      <c r="E263" s="78"/>
      <c r="F263" s="78"/>
      <c r="G263" s="78"/>
      <c r="H263" s="78"/>
      <c r="I263" s="78"/>
      <c r="J263" s="78"/>
      <c r="K263" s="71"/>
      <c r="L263" s="71"/>
      <c r="M263" s="71"/>
      <c r="N263" s="71"/>
      <c r="O263" s="71"/>
      <c r="P263" s="71"/>
      <c r="Q263" s="71"/>
      <c r="R263" s="71"/>
      <c r="S263" s="71"/>
      <c r="T263" s="71"/>
      <c r="U263" s="71"/>
      <c r="V263" s="71"/>
      <c r="W263" s="71"/>
    </row>
    <row r="264" spans="1:23" ht="15.75" customHeight="1">
      <c r="A264" s="79" t="s">
        <v>357</v>
      </c>
      <c r="B264" s="79"/>
      <c r="C264" s="78"/>
      <c r="D264" s="78"/>
      <c r="E264" s="78"/>
      <c r="F264" s="78"/>
      <c r="G264" s="78"/>
      <c r="H264" s="78"/>
      <c r="I264" s="78"/>
      <c r="J264" s="78"/>
      <c r="K264" s="71"/>
      <c r="L264" s="71"/>
      <c r="M264" s="71"/>
      <c r="N264" s="71"/>
      <c r="O264" s="71"/>
      <c r="P264" s="71"/>
      <c r="Q264" s="71"/>
      <c r="R264" s="71"/>
      <c r="S264" s="71"/>
      <c r="T264" s="71"/>
      <c r="U264" s="71"/>
      <c r="V264" s="71"/>
      <c r="W264" s="71"/>
    </row>
    <row r="265" spans="1:23" ht="15.75" customHeight="1">
      <c r="A265" s="76" t="s">
        <v>680</v>
      </c>
      <c r="B265" s="76">
        <v>12</v>
      </c>
      <c r="C265" s="77"/>
      <c r="D265" s="78">
        <f t="shared" ref="D265:J265" si="114">$B$265*$C$265*D124</f>
        <v>0</v>
      </c>
      <c r="E265" s="78">
        <f t="shared" si="114"/>
        <v>0</v>
      </c>
      <c r="F265" s="78">
        <f t="shared" si="114"/>
        <v>0</v>
      </c>
      <c r="G265" s="78">
        <f t="shared" si="114"/>
        <v>0</v>
      </c>
      <c r="H265" s="78">
        <f t="shared" si="114"/>
        <v>0</v>
      </c>
      <c r="I265" s="78">
        <f t="shared" si="114"/>
        <v>0</v>
      </c>
      <c r="J265" s="78">
        <f t="shared" si="114"/>
        <v>0</v>
      </c>
      <c r="K265" s="71"/>
      <c r="L265" s="71"/>
      <c r="M265" s="71"/>
      <c r="N265" s="71"/>
      <c r="O265" s="71"/>
      <c r="P265" s="71"/>
      <c r="Q265" s="71"/>
      <c r="R265" s="71"/>
      <c r="S265" s="71"/>
      <c r="T265" s="71"/>
      <c r="U265" s="71"/>
      <c r="V265" s="71"/>
      <c r="W265" s="71"/>
    </row>
    <row r="266" spans="1:23" ht="15.75" customHeight="1">
      <c r="A266" s="76" t="s">
        <v>681</v>
      </c>
      <c r="B266" s="50">
        <v>1</v>
      </c>
      <c r="C266" s="77"/>
      <c r="D266" s="78">
        <f t="shared" ref="D266:J266" si="115">$B$266*$C$266*12*D124</f>
        <v>0</v>
      </c>
      <c r="E266" s="78">
        <f t="shared" si="115"/>
        <v>0</v>
      </c>
      <c r="F266" s="78">
        <f t="shared" si="115"/>
        <v>0</v>
      </c>
      <c r="G266" s="78">
        <f t="shared" si="115"/>
        <v>0</v>
      </c>
      <c r="H266" s="78">
        <f t="shared" si="115"/>
        <v>0</v>
      </c>
      <c r="I266" s="78">
        <f t="shared" si="115"/>
        <v>0</v>
      </c>
      <c r="J266" s="78">
        <f t="shared" si="115"/>
        <v>0</v>
      </c>
      <c r="K266" s="71"/>
      <c r="L266" s="71"/>
      <c r="M266" s="71"/>
      <c r="N266" s="71"/>
      <c r="O266" s="71"/>
      <c r="P266" s="71"/>
      <c r="Q266" s="71"/>
      <c r="R266" s="71"/>
      <c r="S266" s="71"/>
      <c r="T266" s="71"/>
      <c r="U266" s="71"/>
      <c r="V266" s="71"/>
      <c r="W266" s="71"/>
    </row>
    <row r="267" spans="1:23" ht="15.75" customHeight="1">
      <c r="A267" s="76" t="s">
        <v>682</v>
      </c>
      <c r="B267" s="50">
        <v>1</v>
      </c>
      <c r="C267" s="77"/>
      <c r="D267" s="78">
        <f t="shared" ref="D267:J267" si="116">$B$267*$C$267*12*D124</f>
        <v>0</v>
      </c>
      <c r="E267" s="78">
        <f t="shared" si="116"/>
        <v>0</v>
      </c>
      <c r="F267" s="78">
        <f t="shared" si="116"/>
        <v>0</v>
      </c>
      <c r="G267" s="78">
        <f t="shared" si="116"/>
        <v>0</v>
      </c>
      <c r="H267" s="78">
        <f t="shared" si="116"/>
        <v>0</v>
      </c>
      <c r="I267" s="78">
        <f t="shared" si="116"/>
        <v>0</v>
      </c>
      <c r="J267" s="78">
        <f t="shared" si="116"/>
        <v>0</v>
      </c>
      <c r="K267" s="71"/>
      <c r="L267" s="71"/>
      <c r="M267" s="71"/>
      <c r="N267" s="71"/>
      <c r="O267" s="71"/>
      <c r="P267" s="71"/>
      <c r="Q267" s="71"/>
      <c r="R267" s="71"/>
      <c r="S267" s="71"/>
      <c r="T267" s="71"/>
      <c r="U267" s="71"/>
      <c r="V267" s="71"/>
      <c r="W267" s="71"/>
    </row>
    <row r="268" spans="1:23" ht="15.75" customHeight="1">
      <c r="A268" s="76" t="s">
        <v>683</v>
      </c>
      <c r="B268" s="76">
        <v>12</v>
      </c>
      <c r="C268" s="77"/>
      <c r="D268" s="78">
        <f t="shared" ref="D268:J268" si="117">$B$268*$C$268*D124</f>
        <v>0</v>
      </c>
      <c r="E268" s="78">
        <f t="shared" si="117"/>
        <v>0</v>
      </c>
      <c r="F268" s="78">
        <f t="shared" si="117"/>
        <v>0</v>
      </c>
      <c r="G268" s="78">
        <f t="shared" si="117"/>
        <v>0</v>
      </c>
      <c r="H268" s="78">
        <f t="shared" si="117"/>
        <v>0</v>
      </c>
      <c r="I268" s="78">
        <f t="shared" si="117"/>
        <v>0</v>
      </c>
      <c r="J268" s="78">
        <f t="shared" si="117"/>
        <v>0</v>
      </c>
      <c r="K268" s="71"/>
      <c r="L268" s="71"/>
      <c r="M268" s="71"/>
      <c r="N268" s="71"/>
      <c r="O268" s="71"/>
      <c r="P268" s="71"/>
      <c r="Q268" s="71"/>
      <c r="R268" s="71"/>
      <c r="S268" s="71"/>
      <c r="T268" s="71"/>
      <c r="U268" s="71"/>
      <c r="V268" s="71"/>
      <c r="W268" s="71"/>
    </row>
    <row r="269" spans="1:23" ht="15.75" customHeight="1">
      <c r="A269" s="76"/>
      <c r="B269" s="76"/>
      <c r="C269" s="77"/>
      <c r="D269" s="78"/>
      <c r="E269" s="78"/>
      <c r="F269" s="78"/>
      <c r="G269" s="78"/>
      <c r="H269" s="78"/>
      <c r="I269" s="78"/>
      <c r="J269" s="78"/>
      <c r="K269" s="71"/>
      <c r="L269" s="71"/>
      <c r="M269" s="71"/>
      <c r="N269" s="71"/>
      <c r="O269" s="71"/>
      <c r="P269" s="71"/>
      <c r="Q269" s="71"/>
      <c r="R269" s="71"/>
      <c r="S269" s="71"/>
      <c r="T269" s="71"/>
      <c r="U269" s="71"/>
      <c r="V269" s="71"/>
      <c r="W269" s="71"/>
    </row>
    <row r="270" spans="1:23" ht="15.75" customHeight="1">
      <c r="A270" s="76"/>
      <c r="B270" s="76"/>
      <c r="C270" s="77"/>
      <c r="D270" s="78"/>
      <c r="E270" s="78"/>
      <c r="F270" s="78"/>
      <c r="G270" s="78"/>
      <c r="H270" s="78"/>
      <c r="I270" s="78"/>
      <c r="J270" s="78"/>
      <c r="K270" s="71"/>
      <c r="L270" s="71"/>
      <c r="M270" s="71"/>
      <c r="N270" s="71"/>
      <c r="O270" s="71"/>
      <c r="P270" s="71"/>
      <c r="Q270" s="71"/>
      <c r="R270" s="71"/>
      <c r="S270" s="71"/>
      <c r="T270" s="71"/>
      <c r="U270" s="71"/>
      <c r="V270" s="71"/>
      <c r="W270" s="71"/>
    </row>
    <row r="271" spans="1:23" ht="15.75" customHeight="1">
      <c r="A271" s="76"/>
      <c r="B271" s="76"/>
      <c r="C271" s="77"/>
      <c r="D271" s="78"/>
      <c r="E271" s="78"/>
      <c r="F271" s="78"/>
      <c r="G271" s="78"/>
      <c r="H271" s="78"/>
      <c r="I271" s="78"/>
      <c r="J271" s="78"/>
      <c r="K271" s="71"/>
      <c r="L271" s="71"/>
      <c r="M271" s="71"/>
      <c r="N271" s="71"/>
      <c r="O271" s="71"/>
      <c r="P271" s="71"/>
      <c r="Q271" s="71"/>
      <c r="R271" s="71"/>
      <c r="S271" s="71"/>
      <c r="T271" s="71"/>
      <c r="U271" s="71"/>
      <c r="V271" s="71"/>
      <c r="W271" s="71"/>
    </row>
    <row r="272" spans="1:23" ht="15.75" customHeight="1">
      <c r="A272" s="76"/>
      <c r="B272" s="76"/>
      <c r="C272" s="77"/>
      <c r="D272" s="78"/>
      <c r="E272" s="78"/>
      <c r="F272" s="78"/>
      <c r="G272" s="78"/>
      <c r="H272" s="78"/>
      <c r="I272" s="78"/>
      <c r="J272" s="78"/>
      <c r="K272" s="71"/>
      <c r="L272" s="71"/>
      <c r="M272" s="71"/>
      <c r="N272" s="71"/>
      <c r="O272" s="71"/>
      <c r="P272" s="71"/>
      <c r="Q272" s="71"/>
      <c r="R272" s="71"/>
      <c r="S272" s="71"/>
      <c r="T272" s="71"/>
      <c r="U272" s="71"/>
      <c r="V272" s="71"/>
      <c r="W272" s="71"/>
    </row>
    <row r="273" spans="1:23" ht="15.75" customHeight="1">
      <c r="A273" s="79" t="s">
        <v>359</v>
      </c>
      <c r="B273" s="79"/>
      <c r="C273" s="80"/>
      <c r="D273" s="80">
        <f t="shared" ref="D273:J273" si="118">SUM(D265:D272)</f>
        <v>0</v>
      </c>
      <c r="E273" s="80">
        <f t="shared" si="118"/>
        <v>0</v>
      </c>
      <c r="F273" s="80">
        <f t="shared" si="118"/>
        <v>0</v>
      </c>
      <c r="G273" s="80">
        <f t="shared" si="118"/>
        <v>0</v>
      </c>
      <c r="H273" s="80">
        <f t="shared" si="118"/>
        <v>0</v>
      </c>
      <c r="I273" s="80">
        <f t="shared" si="118"/>
        <v>0</v>
      </c>
      <c r="J273" s="80">
        <f t="shared" si="118"/>
        <v>0</v>
      </c>
      <c r="K273" s="71"/>
      <c r="L273" s="71"/>
      <c r="M273" s="71"/>
      <c r="N273" s="71"/>
      <c r="O273" s="71"/>
      <c r="P273" s="71"/>
      <c r="Q273" s="71"/>
      <c r="R273" s="71"/>
      <c r="S273" s="71"/>
      <c r="T273" s="71"/>
      <c r="U273" s="71"/>
      <c r="V273" s="71"/>
      <c r="W273" s="71"/>
    </row>
    <row r="274" spans="1:23" ht="15.75" customHeight="1">
      <c r="A274" s="191" t="s">
        <v>684</v>
      </c>
      <c r="B274" s="191"/>
      <c r="C274" s="194"/>
      <c r="D274" s="80">
        <f t="shared" ref="D274:J274" si="119">D262+D273</f>
        <v>9868628.25</v>
      </c>
      <c r="E274" s="80">
        <f t="shared" si="119"/>
        <v>11623777.425000003</v>
      </c>
      <c r="F274" s="80">
        <f t="shared" si="119"/>
        <v>13079430.196875002</v>
      </c>
      <c r="G274" s="80">
        <f t="shared" si="119"/>
        <v>14651588.802375004</v>
      </c>
      <c r="H274" s="80">
        <f t="shared" si="119"/>
        <v>16348264.692932822</v>
      </c>
      <c r="I274" s="80">
        <f t="shared" si="119"/>
        <v>18177979.200540479</v>
      </c>
      <c r="J274" s="80">
        <f t="shared" si="119"/>
        <v>20149794.497176569</v>
      </c>
      <c r="K274" s="71"/>
      <c r="L274" s="71"/>
      <c r="M274" s="71"/>
      <c r="N274" s="71"/>
      <c r="O274" s="71"/>
      <c r="P274" s="71"/>
      <c r="Q274" s="71"/>
      <c r="R274" s="71"/>
      <c r="S274" s="71"/>
      <c r="T274" s="71"/>
      <c r="U274" s="71"/>
      <c r="V274" s="71"/>
      <c r="W274" s="71"/>
    </row>
    <row r="275" spans="1:23" ht="15.75" customHeight="1">
      <c r="A275" s="76"/>
      <c r="B275" s="76"/>
      <c r="C275" s="78"/>
      <c r="D275" s="78"/>
      <c r="E275" s="78"/>
      <c r="F275" s="78"/>
      <c r="G275" s="78"/>
      <c r="H275" s="78"/>
      <c r="I275" s="78"/>
      <c r="J275" s="78"/>
      <c r="K275" s="71"/>
      <c r="L275" s="71"/>
      <c r="M275" s="71"/>
      <c r="N275" s="71"/>
      <c r="O275" s="71"/>
      <c r="P275" s="71"/>
      <c r="Q275" s="71"/>
      <c r="R275" s="71"/>
      <c r="S275" s="71"/>
      <c r="T275" s="71"/>
      <c r="U275" s="71"/>
      <c r="V275" s="71"/>
      <c r="W275" s="71"/>
    </row>
    <row r="276" spans="1:23" ht="15.75" customHeight="1">
      <c r="A276" s="191" t="s">
        <v>404</v>
      </c>
      <c r="B276" s="191"/>
      <c r="C276" s="194"/>
      <c r="D276" s="80">
        <f t="shared" ref="D276:J276" si="120">D191-D274</f>
        <v>148765.5</v>
      </c>
      <c r="E276" s="80">
        <f t="shared" si="120"/>
        <v>257176.01249999925</v>
      </c>
      <c r="F276" s="80">
        <f t="shared" si="120"/>
        <v>289836.22499999963</v>
      </c>
      <c r="G276" s="80">
        <f t="shared" si="120"/>
        <v>325119.51871875115</v>
      </c>
      <c r="H276" s="80">
        <f t="shared" si="120"/>
        <v>363206.55124687403</v>
      </c>
      <c r="I276" s="80">
        <f t="shared" si="120"/>
        <v>404289.48823101446</v>
      </c>
      <c r="J276" s="80">
        <f t="shared" si="120"/>
        <v>448572.70253545791</v>
      </c>
      <c r="K276" s="71"/>
      <c r="L276" s="71"/>
      <c r="M276" s="71"/>
      <c r="N276" s="71"/>
      <c r="O276" s="71"/>
      <c r="P276" s="71"/>
      <c r="Q276" s="71"/>
      <c r="R276" s="71"/>
      <c r="S276" s="71"/>
      <c r="T276" s="71"/>
      <c r="U276" s="71"/>
      <c r="V276" s="71"/>
      <c r="W276" s="71"/>
    </row>
    <row r="277" spans="1:23" ht="15.75" customHeight="1">
      <c r="A277" s="96"/>
      <c r="B277" s="96"/>
      <c r="C277" s="96"/>
      <c r="D277" s="71"/>
      <c r="E277" s="71"/>
      <c r="F277" s="71"/>
      <c r="G277" s="71"/>
      <c r="H277" s="71"/>
      <c r="I277" s="71"/>
      <c r="J277" s="71"/>
      <c r="K277" s="71"/>
      <c r="L277" s="71"/>
      <c r="M277" s="71"/>
      <c r="N277" s="71"/>
      <c r="O277" s="71"/>
      <c r="P277" s="71"/>
      <c r="Q277" s="71"/>
      <c r="R277" s="71"/>
      <c r="S277" s="71"/>
      <c r="T277" s="71"/>
      <c r="U277" s="71"/>
      <c r="V277" s="71"/>
      <c r="W277" s="71"/>
    </row>
    <row r="278" spans="1:23" ht="15.7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row>
    <row r="279" spans="1:23" ht="15.75" customHeight="1">
      <c r="A279" s="353" t="s">
        <v>685</v>
      </c>
      <c r="B279" s="335"/>
      <c r="C279" s="335"/>
      <c r="D279" s="335"/>
      <c r="E279" s="335"/>
      <c r="F279" s="335"/>
      <c r="G279" s="335"/>
      <c r="H279" s="335"/>
      <c r="I279" s="335"/>
      <c r="J279" s="335"/>
    </row>
    <row r="280" spans="1:23" ht="15.75" customHeight="1"/>
    <row r="281" spans="1:23" ht="15.75" customHeight="1">
      <c r="A281" t="s">
        <v>313</v>
      </c>
    </row>
    <row r="282" spans="1:23" ht="15.75" customHeight="1">
      <c r="A282">
        <v>1</v>
      </c>
      <c r="B282" t="s">
        <v>599</v>
      </c>
    </row>
    <row r="283" spans="1:23" ht="15.75" customHeight="1">
      <c r="A283">
        <v>2</v>
      </c>
      <c r="B283" t="s">
        <v>600</v>
      </c>
    </row>
    <row r="284" spans="1:23" ht="15.75" customHeight="1">
      <c r="A284">
        <v>3</v>
      </c>
      <c r="B284" s="71" t="s">
        <v>601</v>
      </c>
    </row>
  </sheetData>
  <mergeCells count="3">
    <mergeCell ref="A122:J122"/>
    <mergeCell ref="A2:I2"/>
    <mergeCell ref="A279:J279"/>
  </mergeCells>
  <pageMargins left="0.7" right="0.7" top="0.75" bottom="0.75" header="0" footer="0"/>
  <pageSetup orientation="portrait" r:id="rId1"/>
  <colBreaks count="1" manualBreakCount="1">
    <brk id="1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topLeftCell="A154" workbookViewId="0">
      <selection activeCell="E174" sqref="E174"/>
    </sheetView>
  </sheetViews>
  <sheetFormatPr defaultColWidth="14.44140625" defaultRowHeight="15" customHeight="1"/>
  <cols>
    <col min="1" max="1" width="41.6640625" customWidth="1"/>
    <col min="2" max="2" width="11.5546875" customWidth="1"/>
    <col min="3" max="3" width="12.5546875" customWidth="1"/>
    <col min="4" max="4" width="15.109375" customWidth="1"/>
    <col min="5" max="8" width="17.33203125" customWidth="1"/>
    <col min="9" max="10" width="16.88671875" customWidth="1"/>
    <col min="11" max="11" width="8.6640625" customWidth="1"/>
  </cols>
  <sheetData>
    <row r="3" spans="1:8" ht="17.399999999999999">
      <c r="A3" s="351" t="s">
        <v>686</v>
      </c>
      <c r="B3" s="335"/>
      <c r="C3" s="335"/>
      <c r="D3" s="335"/>
      <c r="E3" s="335"/>
      <c r="F3" s="335"/>
      <c r="G3" s="335"/>
      <c r="H3" s="335"/>
    </row>
    <row r="4" spans="1:8" ht="17.399999999999999">
      <c r="A4" s="351" t="s">
        <v>687</v>
      </c>
      <c r="B4" s="335"/>
      <c r="C4" s="335"/>
      <c r="D4" s="335"/>
      <c r="E4" s="335"/>
      <c r="F4" s="335"/>
      <c r="G4" s="335"/>
      <c r="H4" s="335"/>
    </row>
    <row r="5" spans="1:8" ht="14.4">
      <c r="A5" s="71" t="s">
        <v>130</v>
      </c>
      <c r="B5" s="264">
        <v>1</v>
      </c>
      <c r="C5" s="71" t="s">
        <v>603</v>
      </c>
      <c r="D5" s="71"/>
      <c r="E5" s="71"/>
      <c r="F5" s="71"/>
      <c r="G5" s="71"/>
      <c r="H5" s="71"/>
    </row>
    <row r="6" spans="1:8" ht="14.4">
      <c r="A6" s="71" t="s">
        <v>572</v>
      </c>
      <c r="B6" s="120">
        <v>8</v>
      </c>
      <c r="C6" s="71"/>
      <c r="D6" s="71"/>
      <c r="E6" s="71"/>
      <c r="F6" s="71"/>
      <c r="G6" s="71"/>
      <c r="H6" s="71"/>
    </row>
    <row r="7" spans="1:8" ht="14.4">
      <c r="A7" s="71"/>
      <c r="B7" s="120"/>
      <c r="C7" s="71"/>
      <c r="D7" s="71"/>
      <c r="E7" s="71"/>
      <c r="F7" s="71"/>
      <c r="G7" s="71"/>
      <c r="H7" s="71"/>
    </row>
    <row r="8" spans="1:8" ht="14.4">
      <c r="A8" s="71"/>
      <c r="B8" s="120"/>
      <c r="C8" s="71"/>
      <c r="D8" s="71"/>
      <c r="E8" s="71"/>
      <c r="F8" s="71"/>
      <c r="G8" s="71"/>
      <c r="H8" s="71"/>
    </row>
    <row r="9" spans="1:8" ht="14.4">
      <c r="A9" s="71"/>
      <c r="B9" s="71"/>
      <c r="C9" s="71"/>
      <c r="D9" s="71"/>
      <c r="E9" s="71"/>
      <c r="F9" s="71"/>
      <c r="G9" s="71"/>
      <c r="H9" s="71"/>
    </row>
    <row r="10" spans="1:8" ht="14.4">
      <c r="A10" s="71"/>
      <c r="B10" s="71"/>
      <c r="C10" s="71"/>
      <c r="D10" s="71"/>
      <c r="E10" s="71"/>
      <c r="F10" s="71"/>
      <c r="G10" s="71"/>
      <c r="H10" s="71"/>
    </row>
    <row r="11" spans="1:8" ht="14.4">
      <c r="A11" s="128" t="s">
        <v>149</v>
      </c>
      <c r="B11" s="129" t="s">
        <v>152</v>
      </c>
      <c r="C11" s="129" t="s">
        <v>153</v>
      </c>
      <c r="D11" s="129" t="s">
        <v>154</v>
      </c>
      <c r="E11" s="129" t="s">
        <v>155</v>
      </c>
      <c r="F11" s="129" t="s">
        <v>156</v>
      </c>
      <c r="G11" s="129" t="s">
        <v>157</v>
      </c>
      <c r="H11" s="129" t="s">
        <v>158</v>
      </c>
    </row>
    <row r="12" spans="1:8" ht="14.4">
      <c r="A12" s="76" t="s">
        <v>604</v>
      </c>
      <c r="B12" s="276">
        <f t="shared" ref="B12:H12" si="0">B39/($B$5*$B$6)</f>
        <v>0</v>
      </c>
      <c r="C12" s="276">
        <f t="shared" si="0"/>
        <v>0</v>
      </c>
      <c r="D12" s="276">
        <f t="shared" si="0"/>
        <v>0</v>
      </c>
      <c r="E12" s="276">
        <f t="shared" si="0"/>
        <v>0</v>
      </c>
      <c r="F12" s="276">
        <f t="shared" si="0"/>
        <v>0</v>
      </c>
      <c r="G12" s="276">
        <f t="shared" si="0"/>
        <v>0</v>
      </c>
      <c r="H12" s="276">
        <f t="shared" si="0"/>
        <v>0</v>
      </c>
    </row>
    <row r="13" spans="1:8" ht="14.4">
      <c r="A13" s="76" t="str">
        <f>'11.F&amp;V Crop Production details'!A74</f>
        <v>Onion</v>
      </c>
      <c r="B13" s="76">
        <f>'11.F&amp;V Crop Production details'!B74</f>
        <v>0</v>
      </c>
      <c r="C13" s="76">
        <f>'11.F&amp;V Crop Production details'!C74</f>
        <v>0</v>
      </c>
      <c r="D13" s="76">
        <f>'11.F&amp;V Crop Production details'!D74</f>
        <v>0</v>
      </c>
      <c r="E13" s="76">
        <f>'11.F&amp;V Crop Production details'!E74</f>
        <v>0</v>
      </c>
      <c r="F13" s="76">
        <f>'11.F&amp;V Crop Production details'!F74</f>
        <v>0</v>
      </c>
      <c r="G13" s="76">
        <f>'11.F&amp;V Crop Production details'!G74</f>
        <v>0</v>
      </c>
      <c r="H13" s="76">
        <f>'11.F&amp;V Crop Production details'!H74</f>
        <v>0</v>
      </c>
    </row>
    <row r="14" spans="1:8" ht="14.4">
      <c r="A14" s="76" t="str">
        <f>'11.F&amp;V Crop Production details'!A75</f>
        <v>Tomato</v>
      </c>
      <c r="B14" s="76">
        <f>'11.F&amp;V Crop Production details'!B75</f>
        <v>0</v>
      </c>
      <c r="C14" s="76">
        <f>'11.F&amp;V Crop Production details'!C75</f>
        <v>0</v>
      </c>
      <c r="D14" s="76">
        <f>'11.F&amp;V Crop Production details'!D75</f>
        <v>0</v>
      </c>
      <c r="E14" s="76">
        <f>'11.F&amp;V Crop Production details'!E75</f>
        <v>0</v>
      </c>
      <c r="F14" s="76">
        <f>'11.F&amp;V Crop Production details'!F75</f>
        <v>0</v>
      </c>
      <c r="G14" s="76">
        <f>'11.F&amp;V Crop Production details'!G75</f>
        <v>0</v>
      </c>
      <c r="H14" s="76">
        <f>'11.F&amp;V Crop Production details'!H75</f>
        <v>0</v>
      </c>
    </row>
    <row r="15" spans="1:8" ht="14.4">
      <c r="A15" s="76" t="str">
        <f>'11.F&amp;V Crop Production details'!A76</f>
        <v>Okra</v>
      </c>
      <c r="B15" s="76">
        <f>'11.F&amp;V Crop Production details'!B76</f>
        <v>0</v>
      </c>
      <c r="C15" s="76">
        <f>'11.F&amp;V Crop Production details'!C76</f>
        <v>0</v>
      </c>
      <c r="D15" s="76">
        <f>'11.F&amp;V Crop Production details'!D76</f>
        <v>0</v>
      </c>
      <c r="E15" s="76">
        <f>'11.F&amp;V Crop Production details'!E76</f>
        <v>0</v>
      </c>
      <c r="F15" s="76">
        <f>'11.F&amp;V Crop Production details'!F76</f>
        <v>0</v>
      </c>
      <c r="G15" s="76">
        <f>'11.F&amp;V Crop Production details'!G76</f>
        <v>0</v>
      </c>
      <c r="H15" s="76">
        <f>'11.F&amp;V Crop Production details'!H76</f>
        <v>0</v>
      </c>
    </row>
    <row r="16" spans="1:8" ht="14.4">
      <c r="A16" s="76" t="str">
        <f>'11.F&amp;V Crop Production details'!A77</f>
        <v>Chilli</v>
      </c>
      <c r="B16" s="76">
        <f>'11.F&amp;V Crop Production details'!B77</f>
        <v>0</v>
      </c>
      <c r="C16" s="76">
        <f>'11.F&amp;V Crop Production details'!C77</f>
        <v>0</v>
      </c>
      <c r="D16" s="76">
        <f>'11.F&amp;V Crop Production details'!D77</f>
        <v>0</v>
      </c>
      <c r="E16" s="76">
        <f>'11.F&amp;V Crop Production details'!E77</f>
        <v>0</v>
      </c>
      <c r="F16" s="76">
        <f>'11.F&amp;V Crop Production details'!F77</f>
        <v>0</v>
      </c>
      <c r="G16" s="76">
        <f>'11.F&amp;V Crop Production details'!G77</f>
        <v>0</v>
      </c>
      <c r="H16" s="76">
        <f>'11.F&amp;V Crop Production details'!H77</f>
        <v>0</v>
      </c>
    </row>
    <row r="17" spans="1:8" ht="14.4">
      <c r="A17" s="76" t="str">
        <f>'11.F&amp;V Crop Production details'!A78</f>
        <v>Potato</v>
      </c>
      <c r="B17" s="76">
        <f>'11.F&amp;V Crop Production details'!B78</f>
        <v>0</v>
      </c>
      <c r="C17" s="76">
        <f>'11.F&amp;V Crop Production details'!C78</f>
        <v>0</v>
      </c>
      <c r="D17" s="76">
        <f>'11.F&amp;V Crop Production details'!D78</f>
        <v>0</v>
      </c>
      <c r="E17" s="76">
        <f>'11.F&amp;V Crop Production details'!E78</f>
        <v>0</v>
      </c>
      <c r="F17" s="76">
        <f>'11.F&amp;V Crop Production details'!F78</f>
        <v>0</v>
      </c>
      <c r="G17" s="76">
        <f>'11.F&amp;V Crop Production details'!G78</f>
        <v>0</v>
      </c>
      <c r="H17" s="76">
        <f>'11.F&amp;V Crop Production details'!H78</f>
        <v>0</v>
      </c>
    </row>
    <row r="18" spans="1:8" ht="14.4">
      <c r="A18" s="76">
        <f>'11.F&amp;V Crop Production details'!A79</f>
        <v>0</v>
      </c>
      <c r="B18" s="76">
        <f>'11.F&amp;V Crop Production details'!B79</f>
        <v>0</v>
      </c>
      <c r="C18" s="76">
        <f>'11.F&amp;V Crop Production details'!C79</f>
        <v>0</v>
      </c>
      <c r="D18" s="76">
        <f>'11.F&amp;V Crop Production details'!D79</f>
        <v>0</v>
      </c>
      <c r="E18" s="76">
        <f>'11.F&amp;V Crop Production details'!E79</f>
        <v>0</v>
      </c>
      <c r="F18" s="76">
        <f>'11.F&amp;V Crop Production details'!F79</f>
        <v>0</v>
      </c>
      <c r="G18" s="76">
        <f>'11.F&amp;V Crop Production details'!G79</f>
        <v>0</v>
      </c>
      <c r="H18" s="76">
        <f>'11.F&amp;V Crop Production details'!H79</f>
        <v>0</v>
      </c>
    </row>
    <row r="19" spans="1:8" ht="14.4">
      <c r="A19" s="76">
        <f>'11.F&amp;V Crop Production details'!A80</f>
        <v>0</v>
      </c>
      <c r="B19" s="76">
        <f>'11.F&amp;V Crop Production details'!B80</f>
        <v>0</v>
      </c>
      <c r="C19" s="76">
        <f>'11.F&amp;V Crop Production details'!C80</f>
        <v>0</v>
      </c>
      <c r="D19" s="76">
        <f>'11.F&amp;V Crop Production details'!D80</f>
        <v>0</v>
      </c>
      <c r="E19" s="76">
        <f>'11.F&amp;V Crop Production details'!E80</f>
        <v>0</v>
      </c>
      <c r="F19" s="76">
        <f>'11.F&amp;V Crop Production details'!F80</f>
        <v>0</v>
      </c>
      <c r="G19" s="76">
        <f>'11.F&amp;V Crop Production details'!G80</f>
        <v>0</v>
      </c>
      <c r="H19" s="76">
        <f>'11.F&amp;V Crop Production details'!H80</f>
        <v>0</v>
      </c>
    </row>
    <row r="20" spans="1:8" ht="14.4">
      <c r="A20" s="76">
        <f>'11.F&amp;V Crop Production details'!A81</f>
        <v>0</v>
      </c>
      <c r="B20" s="76">
        <f>'11.F&amp;V Crop Production details'!B81</f>
        <v>0</v>
      </c>
      <c r="C20" s="76">
        <f>'11.F&amp;V Crop Production details'!C81</f>
        <v>0</v>
      </c>
      <c r="D20" s="76">
        <f>'11.F&amp;V Crop Production details'!D81</f>
        <v>0</v>
      </c>
      <c r="E20" s="76">
        <f>'11.F&amp;V Crop Production details'!E81</f>
        <v>0</v>
      </c>
      <c r="F20" s="76">
        <f>'11.F&amp;V Crop Production details'!F81</f>
        <v>0</v>
      </c>
      <c r="G20" s="76">
        <f>'11.F&amp;V Crop Production details'!G81</f>
        <v>0</v>
      </c>
      <c r="H20" s="76">
        <f>'11.F&amp;V Crop Production details'!H81</f>
        <v>0</v>
      </c>
    </row>
    <row r="21" spans="1:8" ht="15.75" customHeight="1">
      <c r="A21" s="76">
        <f>'11.F&amp;V Crop Production details'!A82</f>
        <v>0</v>
      </c>
      <c r="B21" s="76">
        <f>'11.F&amp;V Crop Production details'!B82</f>
        <v>0</v>
      </c>
      <c r="C21" s="76">
        <f>'11.F&amp;V Crop Production details'!C82</f>
        <v>0</v>
      </c>
      <c r="D21" s="76">
        <f>'11.F&amp;V Crop Production details'!D82</f>
        <v>0</v>
      </c>
      <c r="E21" s="76">
        <f>'11.F&amp;V Crop Production details'!E82</f>
        <v>0</v>
      </c>
      <c r="F21" s="76">
        <f>'11.F&amp;V Crop Production details'!F82</f>
        <v>0</v>
      </c>
      <c r="G21" s="76">
        <f>'11.F&amp;V Crop Production details'!G82</f>
        <v>0</v>
      </c>
      <c r="H21" s="76">
        <f>'11.F&amp;V Crop Production details'!H82</f>
        <v>0</v>
      </c>
    </row>
    <row r="22" spans="1:8" ht="15.75" customHeight="1">
      <c r="A22" s="76" t="str">
        <f>'11.F&amp;V Crop Production details'!A83</f>
        <v>Onion</v>
      </c>
      <c r="B22" s="76">
        <f>'11.F&amp;V Crop Production details'!B83</f>
        <v>0</v>
      </c>
      <c r="C22" s="76">
        <f>'11.F&amp;V Crop Production details'!C83</f>
        <v>0</v>
      </c>
      <c r="D22" s="76">
        <f>'11.F&amp;V Crop Production details'!D83</f>
        <v>0</v>
      </c>
      <c r="E22" s="76">
        <f>'11.F&amp;V Crop Production details'!E83</f>
        <v>0</v>
      </c>
      <c r="F22" s="76">
        <f>'11.F&amp;V Crop Production details'!F83</f>
        <v>0</v>
      </c>
      <c r="G22" s="76">
        <f>'11.F&amp;V Crop Production details'!G83</f>
        <v>0</v>
      </c>
      <c r="H22" s="76">
        <f>'11.F&amp;V Crop Production details'!H83</f>
        <v>0</v>
      </c>
    </row>
    <row r="23" spans="1:8" ht="15.75" customHeight="1">
      <c r="A23" s="76" t="str">
        <f>'11.F&amp;V Crop Production details'!A84</f>
        <v>Tomato</v>
      </c>
      <c r="B23" s="76">
        <f>'11.F&amp;V Crop Production details'!B84</f>
        <v>0</v>
      </c>
      <c r="C23" s="76">
        <f>'11.F&amp;V Crop Production details'!C84</f>
        <v>0</v>
      </c>
      <c r="D23" s="76">
        <f>'11.F&amp;V Crop Production details'!D84</f>
        <v>0</v>
      </c>
      <c r="E23" s="76">
        <f>'11.F&amp;V Crop Production details'!E84</f>
        <v>0</v>
      </c>
      <c r="F23" s="76">
        <f>'11.F&amp;V Crop Production details'!F84</f>
        <v>0</v>
      </c>
      <c r="G23" s="76">
        <f>'11.F&amp;V Crop Production details'!G84</f>
        <v>0</v>
      </c>
      <c r="H23" s="76">
        <f>'11.F&amp;V Crop Production details'!H84</f>
        <v>0</v>
      </c>
    </row>
    <row r="24" spans="1:8" ht="15.75" customHeight="1">
      <c r="A24" s="76" t="str">
        <f>'11.F&amp;V Crop Production details'!A85</f>
        <v>Okra</v>
      </c>
      <c r="B24" s="76">
        <f>'11.F&amp;V Crop Production details'!B85</f>
        <v>0</v>
      </c>
      <c r="C24" s="76">
        <f>'11.F&amp;V Crop Production details'!C85</f>
        <v>0</v>
      </c>
      <c r="D24" s="76">
        <f>'11.F&amp;V Crop Production details'!D85</f>
        <v>0</v>
      </c>
      <c r="E24" s="76">
        <f>'11.F&amp;V Crop Production details'!E85</f>
        <v>0</v>
      </c>
      <c r="F24" s="76">
        <f>'11.F&amp;V Crop Production details'!F85</f>
        <v>0</v>
      </c>
      <c r="G24" s="76">
        <f>'11.F&amp;V Crop Production details'!G85</f>
        <v>0</v>
      </c>
      <c r="H24" s="76">
        <f>'11.F&amp;V Crop Production details'!H85</f>
        <v>0</v>
      </c>
    </row>
    <row r="25" spans="1:8" ht="15.75" customHeight="1">
      <c r="A25" s="76" t="str">
        <f>'11.F&amp;V Crop Production details'!A86</f>
        <v>Chilli</v>
      </c>
      <c r="B25" s="76">
        <f>'11.F&amp;V Crop Production details'!B86</f>
        <v>0</v>
      </c>
      <c r="C25" s="76">
        <f>'11.F&amp;V Crop Production details'!C86</f>
        <v>0</v>
      </c>
      <c r="D25" s="76">
        <f>'11.F&amp;V Crop Production details'!D86</f>
        <v>0</v>
      </c>
      <c r="E25" s="76">
        <f>'11.F&amp;V Crop Production details'!E86</f>
        <v>0</v>
      </c>
      <c r="F25" s="76">
        <f>'11.F&amp;V Crop Production details'!F86</f>
        <v>0</v>
      </c>
      <c r="G25" s="76">
        <f>'11.F&amp;V Crop Production details'!G86</f>
        <v>0</v>
      </c>
      <c r="H25" s="76">
        <f>'11.F&amp;V Crop Production details'!H86</f>
        <v>0</v>
      </c>
    </row>
    <row r="26" spans="1:8" ht="15.75" customHeight="1">
      <c r="A26" s="76" t="str">
        <f>'11.F&amp;V Crop Production details'!A87</f>
        <v>Brinjal</v>
      </c>
      <c r="B26" s="76">
        <f>'11.F&amp;V Crop Production details'!B87</f>
        <v>0</v>
      </c>
      <c r="C26" s="76">
        <f>'11.F&amp;V Crop Production details'!C87</f>
        <v>0</v>
      </c>
      <c r="D26" s="76">
        <f>'11.F&amp;V Crop Production details'!D87</f>
        <v>0</v>
      </c>
      <c r="E26" s="76">
        <f>'11.F&amp;V Crop Production details'!E87</f>
        <v>0</v>
      </c>
      <c r="F26" s="76">
        <f>'11.F&amp;V Crop Production details'!F87</f>
        <v>0</v>
      </c>
      <c r="G26" s="76">
        <f>'11.F&amp;V Crop Production details'!G87</f>
        <v>0</v>
      </c>
      <c r="H26" s="76">
        <f>'11.F&amp;V Crop Production details'!H87</f>
        <v>0</v>
      </c>
    </row>
    <row r="27" spans="1:8" ht="15.75" customHeight="1">
      <c r="A27" s="76">
        <f>'11.F&amp;V Crop Production details'!A88</f>
        <v>0</v>
      </c>
      <c r="B27" s="76">
        <f>'11.F&amp;V Crop Production details'!B88</f>
        <v>0</v>
      </c>
      <c r="C27" s="76">
        <f>'11.F&amp;V Crop Production details'!C88</f>
        <v>0</v>
      </c>
      <c r="D27" s="76">
        <f>'11.F&amp;V Crop Production details'!D88</f>
        <v>0</v>
      </c>
      <c r="E27" s="76">
        <f>'11.F&amp;V Crop Production details'!E88</f>
        <v>0</v>
      </c>
      <c r="F27" s="76">
        <f>'11.F&amp;V Crop Production details'!F88</f>
        <v>0</v>
      </c>
      <c r="G27" s="76">
        <f>'11.F&amp;V Crop Production details'!G88</f>
        <v>0</v>
      </c>
      <c r="H27" s="76">
        <f>'11.F&amp;V Crop Production details'!H88</f>
        <v>0</v>
      </c>
    </row>
    <row r="28" spans="1:8" ht="15.75" customHeight="1">
      <c r="A28" s="76">
        <f>'11.F&amp;V Crop Production details'!A89</f>
        <v>0</v>
      </c>
      <c r="B28" s="76">
        <f>'11.F&amp;V Crop Production details'!B89</f>
        <v>0</v>
      </c>
      <c r="C28" s="76">
        <f>'11.F&amp;V Crop Production details'!C89</f>
        <v>0</v>
      </c>
      <c r="D28" s="76">
        <f>'11.F&amp;V Crop Production details'!D89</f>
        <v>0</v>
      </c>
      <c r="E28" s="76">
        <f>'11.F&amp;V Crop Production details'!E89</f>
        <v>0</v>
      </c>
      <c r="F28" s="76">
        <f>'11.F&amp;V Crop Production details'!F89</f>
        <v>0</v>
      </c>
      <c r="G28" s="76">
        <f>'11.F&amp;V Crop Production details'!G89</f>
        <v>0</v>
      </c>
      <c r="H28" s="76">
        <f>'11.F&amp;V Crop Production details'!H89</f>
        <v>0</v>
      </c>
    </row>
    <row r="29" spans="1:8" ht="15.75" customHeight="1">
      <c r="A29" s="76">
        <f>'11.F&amp;V Crop Production details'!A90</f>
        <v>0</v>
      </c>
      <c r="B29" s="76">
        <f>'11.F&amp;V Crop Production details'!B90</f>
        <v>0</v>
      </c>
      <c r="C29" s="76">
        <f>'11.F&amp;V Crop Production details'!C90</f>
        <v>0</v>
      </c>
      <c r="D29" s="76">
        <f>'11.F&amp;V Crop Production details'!D90</f>
        <v>0</v>
      </c>
      <c r="E29" s="76">
        <f>'11.F&amp;V Crop Production details'!E90</f>
        <v>0</v>
      </c>
      <c r="F29" s="76">
        <f>'11.F&amp;V Crop Production details'!F90</f>
        <v>0</v>
      </c>
      <c r="G29" s="76">
        <f>'11.F&amp;V Crop Production details'!G90</f>
        <v>0</v>
      </c>
      <c r="H29" s="76">
        <f>'11.F&amp;V Crop Production details'!H90</f>
        <v>0</v>
      </c>
    </row>
    <row r="30" spans="1:8" ht="15.75" customHeight="1">
      <c r="A30" s="76">
        <f>'11.F&amp;V Crop Production details'!A91</f>
        <v>0</v>
      </c>
      <c r="B30" s="76">
        <f>'11.F&amp;V Crop Production details'!B91</f>
        <v>0</v>
      </c>
      <c r="C30" s="76">
        <f>'11.F&amp;V Crop Production details'!C91</f>
        <v>0</v>
      </c>
      <c r="D30" s="76">
        <f>'11.F&amp;V Crop Production details'!D91</f>
        <v>0</v>
      </c>
      <c r="E30" s="76">
        <f>'11.F&amp;V Crop Production details'!E91</f>
        <v>0</v>
      </c>
      <c r="F30" s="76">
        <f>'11.F&amp;V Crop Production details'!F91</f>
        <v>0</v>
      </c>
      <c r="G30" s="76">
        <f>'11.F&amp;V Crop Production details'!G91</f>
        <v>0</v>
      </c>
      <c r="H30" s="76">
        <f>'11.F&amp;V Crop Production details'!H91</f>
        <v>0</v>
      </c>
    </row>
    <row r="31" spans="1:8" ht="15.75" customHeight="1">
      <c r="A31" s="76">
        <f>'11.F&amp;V Crop Production details'!A92</f>
        <v>0</v>
      </c>
      <c r="B31" s="76">
        <f>'11.F&amp;V Crop Production details'!B92</f>
        <v>0</v>
      </c>
      <c r="C31" s="76">
        <f>'11.F&amp;V Crop Production details'!C92</f>
        <v>0</v>
      </c>
      <c r="D31" s="76">
        <f>'11.F&amp;V Crop Production details'!D92</f>
        <v>0</v>
      </c>
      <c r="E31" s="76">
        <f>'11.F&amp;V Crop Production details'!E92</f>
        <v>0</v>
      </c>
      <c r="F31" s="76">
        <f>'11.F&amp;V Crop Production details'!F92</f>
        <v>0</v>
      </c>
      <c r="G31" s="76">
        <f>'11.F&amp;V Crop Production details'!G92</f>
        <v>0</v>
      </c>
      <c r="H31" s="76">
        <f>'11.F&amp;V Crop Production details'!H92</f>
        <v>0</v>
      </c>
    </row>
    <row r="32" spans="1:8" ht="15.75" customHeight="1">
      <c r="A32" s="76">
        <f>'11.F&amp;V Crop Production details'!A93</f>
        <v>0</v>
      </c>
      <c r="B32" s="76">
        <f>'11.F&amp;V Crop Production details'!B93</f>
        <v>0</v>
      </c>
      <c r="C32" s="76">
        <f>'11.F&amp;V Crop Production details'!C93</f>
        <v>0</v>
      </c>
      <c r="D32" s="76">
        <f>'11.F&amp;V Crop Production details'!D93</f>
        <v>0</v>
      </c>
      <c r="E32" s="76">
        <f>'11.F&amp;V Crop Production details'!E93</f>
        <v>0</v>
      </c>
      <c r="F32" s="76">
        <f>'11.F&amp;V Crop Production details'!F93</f>
        <v>0</v>
      </c>
      <c r="G32" s="76">
        <f>'11.F&amp;V Crop Production details'!G93</f>
        <v>0</v>
      </c>
      <c r="H32" s="76">
        <f>'11.F&amp;V Crop Production details'!H93</f>
        <v>0</v>
      </c>
    </row>
    <row r="33" spans="1:8" ht="15.75" customHeight="1">
      <c r="A33" s="76">
        <f>'11.F&amp;V Crop Production details'!A94</f>
        <v>0</v>
      </c>
      <c r="B33" s="76">
        <f>'11.F&amp;V Crop Production details'!B94</f>
        <v>0</v>
      </c>
      <c r="C33" s="76">
        <f>'11.F&amp;V Crop Production details'!C94</f>
        <v>0</v>
      </c>
      <c r="D33" s="76">
        <f>'11.F&amp;V Crop Production details'!D94</f>
        <v>0</v>
      </c>
      <c r="E33" s="76">
        <f>'11.F&amp;V Crop Production details'!E94</f>
        <v>0</v>
      </c>
      <c r="F33" s="76">
        <f>'11.F&amp;V Crop Production details'!F94</f>
        <v>0</v>
      </c>
      <c r="G33" s="76">
        <f>'11.F&amp;V Crop Production details'!G94</f>
        <v>0</v>
      </c>
      <c r="H33" s="76">
        <f>'11.F&amp;V Crop Production details'!H94</f>
        <v>0</v>
      </c>
    </row>
    <row r="34" spans="1:8" ht="15.75" customHeight="1">
      <c r="A34" s="76" t="str">
        <f>'11.F&amp;V Crop Production details'!A95</f>
        <v>Pomegranate</v>
      </c>
      <c r="B34" s="76">
        <f>'11.F&amp;V Crop Production details'!B95</f>
        <v>0</v>
      </c>
      <c r="C34" s="76">
        <f>'11.F&amp;V Crop Production details'!C95</f>
        <v>0</v>
      </c>
      <c r="D34" s="76">
        <f>'11.F&amp;V Crop Production details'!D95</f>
        <v>0</v>
      </c>
      <c r="E34" s="76">
        <f>'11.F&amp;V Crop Production details'!E95</f>
        <v>0</v>
      </c>
      <c r="F34" s="76">
        <f>'11.F&amp;V Crop Production details'!F95</f>
        <v>0</v>
      </c>
      <c r="G34" s="76">
        <f>'11.F&amp;V Crop Production details'!G95</f>
        <v>0</v>
      </c>
      <c r="H34" s="76">
        <f>'11.F&amp;V Crop Production details'!H95</f>
        <v>0</v>
      </c>
    </row>
    <row r="35" spans="1:8" ht="15.75" customHeight="1">
      <c r="A35" s="76" t="str">
        <f>'11.F&amp;V Crop Production details'!A96</f>
        <v>Custard Apple</v>
      </c>
      <c r="B35" s="76">
        <f>'11.F&amp;V Crop Production details'!B96</f>
        <v>0</v>
      </c>
      <c r="C35" s="76">
        <f>'11.F&amp;V Crop Production details'!C96</f>
        <v>0</v>
      </c>
      <c r="D35" s="76">
        <f>'11.F&amp;V Crop Production details'!D96</f>
        <v>0</v>
      </c>
      <c r="E35" s="76">
        <f>'11.F&amp;V Crop Production details'!E96</f>
        <v>0</v>
      </c>
      <c r="F35" s="76">
        <f>'11.F&amp;V Crop Production details'!F96</f>
        <v>0</v>
      </c>
      <c r="G35" s="76">
        <f>'11.F&amp;V Crop Production details'!G96</f>
        <v>0</v>
      </c>
      <c r="H35" s="76">
        <f>'11.F&amp;V Crop Production details'!H96</f>
        <v>0</v>
      </c>
    </row>
    <row r="36" spans="1:8" ht="15.75" customHeight="1">
      <c r="A36" s="76" t="str">
        <f>'11.F&amp;V Crop Production details'!A97</f>
        <v>Guava</v>
      </c>
      <c r="B36" s="76">
        <f>'11.F&amp;V Crop Production details'!B97</f>
        <v>0</v>
      </c>
      <c r="C36" s="76">
        <f>'11.F&amp;V Crop Production details'!C97</f>
        <v>0</v>
      </c>
      <c r="D36" s="76">
        <f>'11.F&amp;V Crop Production details'!D97</f>
        <v>0</v>
      </c>
      <c r="E36" s="76">
        <f>'11.F&amp;V Crop Production details'!E97</f>
        <v>0</v>
      </c>
      <c r="F36" s="76">
        <f>'11.F&amp;V Crop Production details'!F97</f>
        <v>0</v>
      </c>
      <c r="G36" s="76">
        <f>'11.F&amp;V Crop Production details'!G97</f>
        <v>0</v>
      </c>
      <c r="H36" s="76">
        <f>'11.F&amp;V Crop Production details'!H97</f>
        <v>0</v>
      </c>
    </row>
    <row r="37" spans="1:8" ht="15.75" customHeight="1">
      <c r="A37" s="76" t="str">
        <f>'11.F&amp;V Crop Production details'!A98</f>
        <v>Citrus</v>
      </c>
      <c r="B37" s="76">
        <f>'11.F&amp;V Crop Production details'!B98</f>
        <v>0</v>
      </c>
      <c r="C37" s="76">
        <f>'11.F&amp;V Crop Production details'!C98</f>
        <v>0</v>
      </c>
      <c r="D37" s="76">
        <f>'11.F&amp;V Crop Production details'!D98</f>
        <v>0</v>
      </c>
      <c r="E37" s="76">
        <f>'11.F&amp;V Crop Production details'!E98</f>
        <v>0</v>
      </c>
      <c r="F37" s="76">
        <f>'11.F&amp;V Crop Production details'!F98</f>
        <v>0</v>
      </c>
      <c r="G37" s="76">
        <f>'11.F&amp;V Crop Production details'!G98</f>
        <v>0</v>
      </c>
      <c r="H37" s="76">
        <f>'11.F&amp;V Crop Production details'!H98</f>
        <v>0</v>
      </c>
    </row>
    <row r="38" spans="1:8" ht="15.75" customHeight="1">
      <c r="A38" s="76"/>
      <c r="B38" s="76"/>
      <c r="C38" s="76"/>
      <c r="D38" s="76"/>
      <c r="E38" s="76"/>
      <c r="F38" s="76"/>
      <c r="G38" s="76"/>
      <c r="H38" s="76"/>
    </row>
    <row r="39" spans="1:8" ht="15.75" customHeight="1">
      <c r="A39" s="76" t="s">
        <v>605</v>
      </c>
      <c r="B39" s="76">
        <f t="shared" ref="B39:H39" si="1">SUM(B13:B37)</f>
        <v>0</v>
      </c>
      <c r="C39" s="76">
        <f t="shared" si="1"/>
        <v>0</v>
      </c>
      <c r="D39" s="76">
        <f t="shared" si="1"/>
        <v>0</v>
      </c>
      <c r="E39" s="76">
        <f t="shared" si="1"/>
        <v>0</v>
      </c>
      <c r="F39" s="76">
        <f t="shared" si="1"/>
        <v>0</v>
      </c>
      <c r="G39" s="76">
        <f t="shared" si="1"/>
        <v>0</v>
      </c>
      <c r="H39" s="76">
        <f t="shared" si="1"/>
        <v>0</v>
      </c>
    </row>
    <row r="40" spans="1:8" ht="15.75" customHeight="1">
      <c r="A40" s="277" t="s">
        <v>581</v>
      </c>
      <c r="B40" s="139">
        <v>0</v>
      </c>
      <c r="C40" s="139">
        <f t="shared" ref="C40:H40" si="2">B40</f>
        <v>0</v>
      </c>
      <c r="D40" s="139">
        <f t="shared" si="2"/>
        <v>0</v>
      </c>
      <c r="E40" s="139">
        <f t="shared" si="2"/>
        <v>0</v>
      </c>
      <c r="F40" s="139">
        <f t="shared" si="2"/>
        <v>0</v>
      </c>
      <c r="G40" s="139">
        <f t="shared" si="2"/>
        <v>0</v>
      </c>
      <c r="H40" s="139">
        <f t="shared" si="2"/>
        <v>0</v>
      </c>
    </row>
    <row r="41" spans="1:8" ht="15.75" customHeight="1">
      <c r="A41" s="76" t="s">
        <v>606</v>
      </c>
      <c r="B41" s="131">
        <f t="shared" ref="B41:H41" si="3">1-B40</f>
        <v>1</v>
      </c>
      <c r="C41" s="131">
        <f t="shared" si="3"/>
        <v>1</v>
      </c>
      <c r="D41" s="131">
        <f t="shared" si="3"/>
        <v>1</v>
      </c>
      <c r="E41" s="131">
        <f t="shared" si="3"/>
        <v>1</v>
      </c>
      <c r="F41" s="131">
        <f t="shared" si="3"/>
        <v>1</v>
      </c>
      <c r="G41" s="131">
        <f t="shared" si="3"/>
        <v>1</v>
      </c>
      <c r="H41" s="131">
        <f t="shared" si="3"/>
        <v>1</v>
      </c>
    </row>
    <row r="42" spans="1:8" ht="15.75" customHeight="1">
      <c r="A42" s="79" t="s">
        <v>581</v>
      </c>
      <c r="B42" s="273">
        <f t="shared" ref="B42:H42" si="4">B39*B40</f>
        <v>0</v>
      </c>
      <c r="C42" s="273">
        <f t="shared" si="4"/>
        <v>0</v>
      </c>
      <c r="D42" s="273">
        <f t="shared" si="4"/>
        <v>0</v>
      </c>
      <c r="E42" s="273">
        <f t="shared" si="4"/>
        <v>0</v>
      </c>
      <c r="F42" s="273">
        <f t="shared" si="4"/>
        <v>0</v>
      </c>
      <c r="G42" s="273">
        <f t="shared" si="4"/>
        <v>0</v>
      </c>
      <c r="H42" s="273">
        <f t="shared" si="4"/>
        <v>0</v>
      </c>
    </row>
    <row r="43" spans="1:8" ht="15.75" customHeight="1">
      <c r="A43" s="79" t="s">
        <v>582</v>
      </c>
      <c r="B43" s="80"/>
      <c r="C43" s="80"/>
      <c r="D43" s="80"/>
      <c r="E43" s="80"/>
      <c r="F43" s="80"/>
      <c r="G43" s="80"/>
      <c r="H43" s="80"/>
    </row>
    <row r="44" spans="1:8" ht="15.75" customHeight="1">
      <c r="A44" s="76" t="str">
        <f t="shared" ref="A44:A61" si="5">A13</f>
        <v>Onion</v>
      </c>
      <c r="B44" s="78">
        <f t="shared" ref="B44:B61" si="6">B13*$B$41</f>
        <v>0</v>
      </c>
      <c r="C44" s="78">
        <f t="shared" ref="C44:C61" si="7">C13*$C$41</f>
        <v>0</v>
      </c>
      <c r="D44" s="78">
        <f t="shared" ref="D44:D61" si="8">D13*$D$41</f>
        <v>0</v>
      </c>
      <c r="E44" s="78">
        <f t="shared" ref="E44:E61" si="9">E13*$E$41</f>
        <v>0</v>
      </c>
      <c r="F44" s="78">
        <f t="shared" ref="F44:F61" si="10">F13*$F$41</f>
        <v>0</v>
      </c>
      <c r="G44" s="78">
        <f t="shared" ref="G44:G61" si="11">G13*$G$41</f>
        <v>0</v>
      </c>
      <c r="H44" s="78">
        <f t="shared" ref="H44:H61" si="12">H13*$H$41</f>
        <v>0</v>
      </c>
    </row>
    <row r="45" spans="1:8" ht="15.75" customHeight="1">
      <c r="A45" s="76" t="str">
        <f t="shared" si="5"/>
        <v>Tomato</v>
      </c>
      <c r="B45" s="78">
        <f t="shared" si="6"/>
        <v>0</v>
      </c>
      <c r="C45" s="78">
        <f t="shared" si="7"/>
        <v>0</v>
      </c>
      <c r="D45" s="78">
        <f t="shared" si="8"/>
        <v>0</v>
      </c>
      <c r="E45" s="78">
        <f t="shared" si="9"/>
        <v>0</v>
      </c>
      <c r="F45" s="78">
        <f t="shared" si="10"/>
        <v>0</v>
      </c>
      <c r="G45" s="78">
        <f t="shared" si="11"/>
        <v>0</v>
      </c>
      <c r="H45" s="78">
        <f t="shared" si="12"/>
        <v>0</v>
      </c>
    </row>
    <row r="46" spans="1:8" ht="15.75" customHeight="1">
      <c r="A46" s="76" t="str">
        <f t="shared" si="5"/>
        <v>Okra</v>
      </c>
      <c r="B46" s="78">
        <f t="shared" si="6"/>
        <v>0</v>
      </c>
      <c r="C46" s="78">
        <f t="shared" si="7"/>
        <v>0</v>
      </c>
      <c r="D46" s="78">
        <f t="shared" si="8"/>
        <v>0</v>
      </c>
      <c r="E46" s="78">
        <f t="shared" si="9"/>
        <v>0</v>
      </c>
      <c r="F46" s="78">
        <f t="shared" si="10"/>
        <v>0</v>
      </c>
      <c r="G46" s="78">
        <f t="shared" si="11"/>
        <v>0</v>
      </c>
      <c r="H46" s="78">
        <f t="shared" si="12"/>
        <v>0</v>
      </c>
    </row>
    <row r="47" spans="1:8" ht="15.75" customHeight="1">
      <c r="A47" s="76" t="str">
        <f t="shared" si="5"/>
        <v>Chilli</v>
      </c>
      <c r="B47" s="78">
        <f t="shared" si="6"/>
        <v>0</v>
      </c>
      <c r="C47" s="78">
        <f t="shared" si="7"/>
        <v>0</v>
      </c>
      <c r="D47" s="78">
        <f t="shared" si="8"/>
        <v>0</v>
      </c>
      <c r="E47" s="78">
        <f t="shared" si="9"/>
        <v>0</v>
      </c>
      <c r="F47" s="78">
        <f t="shared" si="10"/>
        <v>0</v>
      </c>
      <c r="G47" s="78">
        <f t="shared" si="11"/>
        <v>0</v>
      </c>
      <c r="H47" s="78">
        <f t="shared" si="12"/>
        <v>0</v>
      </c>
    </row>
    <row r="48" spans="1:8" ht="15.75" customHeight="1">
      <c r="A48" s="76" t="str">
        <f t="shared" si="5"/>
        <v>Potato</v>
      </c>
      <c r="B48" s="78">
        <f t="shared" si="6"/>
        <v>0</v>
      </c>
      <c r="C48" s="78">
        <f t="shared" si="7"/>
        <v>0</v>
      </c>
      <c r="D48" s="78">
        <f t="shared" si="8"/>
        <v>0</v>
      </c>
      <c r="E48" s="78">
        <f t="shared" si="9"/>
        <v>0</v>
      </c>
      <c r="F48" s="78">
        <f t="shared" si="10"/>
        <v>0</v>
      </c>
      <c r="G48" s="78">
        <f t="shared" si="11"/>
        <v>0</v>
      </c>
      <c r="H48" s="78">
        <f t="shared" si="12"/>
        <v>0</v>
      </c>
    </row>
    <row r="49" spans="1:8" ht="15.75" customHeight="1">
      <c r="A49" s="76">
        <f t="shared" si="5"/>
        <v>0</v>
      </c>
      <c r="B49" s="78">
        <f t="shared" si="6"/>
        <v>0</v>
      </c>
      <c r="C49" s="78">
        <f t="shared" si="7"/>
        <v>0</v>
      </c>
      <c r="D49" s="78">
        <f t="shared" si="8"/>
        <v>0</v>
      </c>
      <c r="E49" s="78">
        <f t="shared" si="9"/>
        <v>0</v>
      </c>
      <c r="F49" s="78">
        <f t="shared" si="10"/>
        <v>0</v>
      </c>
      <c r="G49" s="78">
        <f t="shared" si="11"/>
        <v>0</v>
      </c>
      <c r="H49" s="78">
        <f t="shared" si="12"/>
        <v>0</v>
      </c>
    </row>
    <row r="50" spans="1:8" ht="15.75" customHeight="1">
      <c r="A50" s="76">
        <f t="shared" si="5"/>
        <v>0</v>
      </c>
      <c r="B50" s="78">
        <f t="shared" si="6"/>
        <v>0</v>
      </c>
      <c r="C50" s="78">
        <f t="shared" si="7"/>
        <v>0</v>
      </c>
      <c r="D50" s="78">
        <f t="shared" si="8"/>
        <v>0</v>
      </c>
      <c r="E50" s="78">
        <f t="shared" si="9"/>
        <v>0</v>
      </c>
      <c r="F50" s="78">
        <f t="shared" si="10"/>
        <v>0</v>
      </c>
      <c r="G50" s="78">
        <f t="shared" si="11"/>
        <v>0</v>
      </c>
      <c r="H50" s="78">
        <f t="shared" si="12"/>
        <v>0</v>
      </c>
    </row>
    <row r="51" spans="1:8" ht="15.75" customHeight="1">
      <c r="A51" s="76">
        <f t="shared" si="5"/>
        <v>0</v>
      </c>
      <c r="B51" s="78">
        <f t="shared" si="6"/>
        <v>0</v>
      </c>
      <c r="C51" s="78">
        <f t="shared" si="7"/>
        <v>0</v>
      </c>
      <c r="D51" s="78">
        <f t="shared" si="8"/>
        <v>0</v>
      </c>
      <c r="E51" s="78">
        <f t="shared" si="9"/>
        <v>0</v>
      </c>
      <c r="F51" s="78">
        <f t="shared" si="10"/>
        <v>0</v>
      </c>
      <c r="G51" s="78">
        <f t="shared" si="11"/>
        <v>0</v>
      </c>
      <c r="H51" s="78">
        <f t="shared" si="12"/>
        <v>0</v>
      </c>
    </row>
    <row r="52" spans="1:8" ht="15.75" customHeight="1">
      <c r="A52" s="76">
        <f t="shared" si="5"/>
        <v>0</v>
      </c>
      <c r="B52" s="78">
        <f t="shared" si="6"/>
        <v>0</v>
      </c>
      <c r="C52" s="78">
        <f t="shared" si="7"/>
        <v>0</v>
      </c>
      <c r="D52" s="78">
        <f t="shared" si="8"/>
        <v>0</v>
      </c>
      <c r="E52" s="78">
        <f t="shared" si="9"/>
        <v>0</v>
      </c>
      <c r="F52" s="78">
        <f t="shared" si="10"/>
        <v>0</v>
      </c>
      <c r="G52" s="78">
        <f t="shared" si="11"/>
        <v>0</v>
      </c>
      <c r="H52" s="78">
        <f t="shared" si="12"/>
        <v>0</v>
      </c>
    </row>
    <row r="53" spans="1:8" ht="15.75" customHeight="1">
      <c r="A53" s="76" t="str">
        <f t="shared" si="5"/>
        <v>Onion</v>
      </c>
      <c r="B53" s="78">
        <f t="shared" si="6"/>
        <v>0</v>
      </c>
      <c r="C53" s="78">
        <f t="shared" si="7"/>
        <v>0</v>
      </c>
      <c r="D53" s="78">
        <f t="shared" si="8"/>
        <v>0</v>
      </c>
      <c r="E53" s="78">
        <f t="shared" si="9"/>
        <v>0</v>
      </c>
      <c r="F53" s="78">
        <f t="shared" si="10"/>
        <v>0</v>
      </c>
      <c r="G53" s="78">
        <f t="shared" si="11"/>
        <v>0</v>
      </c>
      <c r="H53" s="78">
        <f t="shared" si="12"/>
        <v>0</v>
      </c>
    </row>
    <row r="54" spans="1:8" ht="15.75" customHeight="1">
      <c r="A54" s="76" t="str">
        <f t="shared" si="5"/>
        <v>Tomato</v>
      </c>
      <c r="B54" s="78">
        <f t="shared" si="6"/>
        <v>0</v>
      </c>
      <c r="C54" s="78">
        <f t="shared" si="7"/>
        <v>0</v>
      </c>
      <c r="D54" s="78">
        <f t="shared" si="8"/>
        <v>0</v>
      </c>
      <c r="E54" s="78">
        <f t="shared" si="9"/>
        <v>0</v>
      </c>
      <c r="F54" s="78">
        <f t="shared" si="10"/>
        <v>0</v>
      </c>
      <c r="G54" s="78">
        <f t="shared" si="11"/>
        <v>0</v>
      </c>
      <c r="H54" s="78">
        <f t="shared" si="12"/>
        <v>0</v>
      </c>
    </row>
    <row r="55" spans="1:8" ht="15.75" customHeight="1">
      <c r="A55" s="76" t="str">
        <f t="shared" si="5"/>
        <v>Okra</v>
      </c>
      <c r="B55" s="78">
        <f t="shared" si="6"/>
        <v>0</v>
      </c>
      <c r="C55" s="78">
        <f t="shared" si="7"/>
        <v>0</v>
      </c>
      <c r="D55" s="78">
        <f t="shared" si="8"/>
        <v>0</v>
      </c>
      <c r="E55" s="78">
        <f t="shared" si="9"/>
        <v>0</v>
      </c>
      <c r="F55" s="78">
        <f t="shared" si="10"/>
        <v>0</v>
      </c>
      <c r="G55" s="78">
        <f t="shared" si="11"/>
        <v>0</v>
      </c>
      <c r="H55" s="78">
        <f t="shared" si="12"/>
        <v>0</v>
      </c>
    </row>
    <row r="56" spans="1:8" ht="15.75" customHeight="1">
      <c r="A56" s="76" t="str">
        <f t="shared" si="5"/>
        <v>Chilli</v>
      </c>
      <c r="B56" s="78">
        <f t="shared" si="6"/>
        <v>0</v>
      </c>
      <c r="C56" s="78">
        <f t="shared" si="7"/>
        <v>0</v>
      </c>
      <c r="D56" s="78">
        <f t="shared" si="8"/>
        <v>0</v>
      </c>
      <c r="E56" s="78">
        <f t="shared" si="9"/>
        <v>0</v>
      </c>
      <c r="F56" s="78">
        <f t="shared" si="10"/>
        <v>0</v>
      </c>
      <c r="G56" s="78">
        <f t="shared" si="11"/>
        <v>0</v>
      </c>
      <c r="H56" s="78">
        <f t="shared" si="12"/>
        <v>0</v>
      </c>
    </row>
    <row r="57" spans="1:8" ht="15.75" customHeight="1">
      <c r="A57" s="76" t="str">
        <f t="shared" si="5"/>
        <v>Brinjal</v>
      </c>
      <c r="B57" s="78">
        <f t="shared" si="6"/>
        <v>0</v>
      </c>
      <c r="C57" s="78">
        <f t="shared" si="7"/>
        <v>0</v>
      </c>
      <c r="D57" s="78">
        <f t="shared" si="8"/>
        <v>0</v>
      </c>
      <c r="E57" s="78">
        <f t="shared" si="9"/>
        <v>0</v>
      </c>
      <c r="F57" s="78">
        <f t="shared" si="10"/>
        <v>0</v>
      </c>
      <c r="G57" s="78">
        <f t="shared" si="11"/>
        <v>0</v>
      </c>
      <c r="H57" s="78">
        <f t="shared" si="12"/>
        <v>0</v>
      </c>
    </row>
    <row r="58" spans="1:8" ht="15.75" customHeight="1">
      <c r="A58" s="76">
        <f t="shared" si="5"/>
        <v>0</v>
      </c>
      <c r="B58" s="78">
        <f t="shared" si="6"/>
        <v>0</v>
      </c>
      <c r="C58" s="78">
        <f t="shared" si="7"/>
        <v>0</v>
      </c>
      <c r="D58" s="78">
        <f t="shared" si="8"/>
        <v>0</v>
      </c>
      <c r="E58" s="78">
        <f t="shared" si="9"/>
        <v>0</v>
      </c>
      <c r="F58" s="78">
        <f t="shared" si="10"/>
        <v>0</v>
      </c>
      <c r="G58" s="78">
        <f t="shared" si="11"/>
        <v>0</v>
      </c>
      <c r="H58" s="78">
        <f t="shared" si="12"/>
        <v>0</v>
      </c>
    </row>
    <row r="59" spans="1:8" ht="15.75" customHeight="1">
      <c r="A59" s="76">
        <f t="shared" si="5"/>
        <v>0</v>
      </c>
      <c r="B59" s="78">
        <f t="shared" si="6"/>
        <v>0</v>
      </c>
      <c r="C59" s="78">
        <f t="shared" si="7"/>
        <v>0</v>
      </c>
      <c r="D59" s="78">
        <f t="shared" si="8"/>
        <v>0</v>
      </c>
      <c r="E59" s="78">
        <f t="shared" si="9"/>
        <v>0</v>
      </c>
      <c r="F59" s="78">
        <f t="shared" si="10"/>
        <v>0</v>
      </c>
      <c r="G59" s="78">
        <f t="shared" si="11"/>
        <v>0</v>
      </c>
      <c r="H59" s="78">
        <f t="shared" si="12"/>
        <v>0</v>
      </c>
    </row>
    <row r="60" spans="1:8" ht="15.75" customHeight="1">
      <c r="A60" s="76">
        <f t="shared" si="5"/>
        <v>0</v>
      </c>
      <c r="B60" s="78">
        <f t="shared" si="6"/>
        <v>0</v>
      </c>
      <c r="C60" s="78">
        <f t="shared" si="7"/>
        <v>0</v>
      </c>
      <c r="D60" s="78">
        <f t="shared" si="8"/>
        <v>0</v>
      </c>
      <c r="E60" s="78">
        <f t="shared" si="9"/>
        <v>0</v>
      </c>
      <c r="F60" s="78">
        <f t="shared" si="10"/>
        <v>0</v>
      </c>
      <c r="G60" s="78">
        <f t="shared" si="11"/>
        <v>0</v>
      </c>
      <c r="H60" s="78">
        <f t="shared" si="12"/>
        <v>0</v>
      </c>
    </row>
    <row r="61" spans="1:8" ht="15.75" customHeight="1">
      <c r="A61" s="76">
        <f t="shared" si="5"/>
        <v>0</v>
      </c>
      <c r="B61" s="78">
        <f t="shared" si="6"/>
        <v>0</v>
      </c>
      <c r="C61" s="78">
        <f t="shared" si="7"/>
        <v>0</v>
      </c>
      <c r="D61" s="78">
        <f t="shared" si="8"/>
        <v>0</v>
      </c>
      <c r="E61" s="78">
        <f t="shared" si="9"/>
        <v>0</v>
      </c>
      <c r="F61" s="78">
        <f t="shared" si="10"/>
        <v>0</v>
      </c>
      <c r="G61" s="78">
        <f t="shared" si="11"/>
        <v>0</v>
      </c>
      <c r="H61" s="78">
        <f t="shared" si="12"/>
        <v>0</v>
      </c>
    </row>
    <row r="62" spans="1:8" ht="15.75" customHeight="1">
      <c r="A62" s="76" t="str">
        <f t="shared" ref="A62:A65" si="13">A34</f>
        <v>Pomegranate</v>
      </c>
      <c r="B62" s="78">
        <f t="shared" ref="B62:H62" si="14">B34*$B$41</f>
        <v>0</v>
      </c>
      <c r="C62" s="78">
        <f t="shared" si="14"/>
        <v>0</v>
      </c>
      <c r="D62" s="78">
        <f t="shared" si="14"/>
        <v>0</v>
      </c>
      <c r="E62" s="78">
        <f t="shared" si="14"/>
        <v>0</v>
      </c>
      <c r="F62" s="78">
        <f t="shared" si="14"/>
        <v>0</v>
      </c>
      <c r="G62" s="78">
        <f t="shared" si="14"/>
        <v>0</v>
      </c>
      <c r="H62" s="78">
        <f t="shared" si="14"/>
        <v>0</v>
      </c>
    </row>
    <row r="63" spans="1:8" ht="15.75" customHeight="1">
      <c r="A63" s="76" t="str">
        <f t="shared" si="13"/>
        <v>Custard Apple</v>
      </c>
      <c r="B63" s="78">
        <f t="shared" ref="B63:H63" si="15">B35*$B$41</f>
        <v>0</v>
      </c>
      <c r="C63" s="78">
        <f t="shared" si="15"/>
        <v>0</v>
      </c>
      <c r="D63" s="78">
        <f t="shared" si="15"/>
        <v>0</v>
      </c>
      <c r="E63" s="78">
        <f t="shared" si="15"/>
        <v>0</v>
      </c>
      <c r="F63" s="78">
        <f t="shared" si="15"/>
        <v>0</v>
      </c>
      <c r="G63" s="78">
        <f t="shared" si="15"/>
        <v>0</v>
      </c>
      <c r="H63" s="78">
        <f t="shared" si="15"/>
        <v>0</v>
      </c>
    </row>
    <row r="64" spans="1:8" ht="15.75" customHeight="1">
      <c r="A64" s="76" t="str">
        <f t="shared" si="13"/>
        <v>Guava</v>
      </c>
      <c r="B64" s="78">
        <f t="shared" ref="B64:H64" si="16">B36*$B$41</f>
        <v>0</v>
      </c>
      <c r="C64" s="78">
        <f t="shared" si="16"/>
        <v>0</v>
      </c>
      <c r="D64" s="78">
        <f t="shared" si="16"/>
        <v>0</v>
      </c>
      <c r="E64" s="78">
        <f t="shared" si="16"/>
        <v>0</v>
      </c>
      <c r="F64" s="78">
        <f t="shared" si="16"/>
        <v>0</v>
      </c>
      <c r="G64" s="78">
        <f t="shared" si="16"/>
        <v>0</v>
      </c>
      <c r="H64" s="78">
        <f t="shared" si="16"/>
        <v>0</v>
      </c>
    </row>
    <row r="65" spans="1:8" ht="15.75" customHeight="1">
      <c r="A65" s="76" t="str">
        <f t="shared" si="13"/>
        <v>Citrus</v>
      </c>
      <c r="B65" s="78">
        <f t="shared" ref="B65:H65" si="17">B37*$B$41</f>
        <v>0</v>
      </c>
      <c r="C65" s="78">
        <f t="shared" si="17"/>
        <v>0</v>
      </c>
      <c r="D65" s="78">
        <f t="shared" si="17"/>
        <v>0</v>
      </c>
      <c r="E65" s="78">
        <f t="shared" si="17"/>
        <v>0</v>
      </c>
      <c r="F65" s="78">
        <f t="shared" si="17"/>
        <v>0</v>
      </c>
      <c r="G65" s="78">
        <f t="shared" si="17"/>
        <v>0</v>
      </c>
      <c r="H65" s="78">
        <f t="shared" si="17"/>
        <v>0</v>
      </c>
    </row>
    <row r="66" spans="1:8" ht="15.75" customHeight="1">
      <c r="A66" s="79" t="s">
        <v>607</v>
      </c>
      <c r="B66" s="76"/>
      <c r="C66" s="76"/>
      <c r="D66" s="76"/>
      <c r="E66" s="76"/>
      <c r="F66" s="76"/>
      <c r="G66" s="76"/>
      <c r="H66" s="76"/>
    </row>
    <row r="67" spans="1:8" ht="15.75" customHeight="1">
      <c r="A67" s="76" t="str">
        <f>A44</f>
        <v>Onion</v>
      </c>
      <c r="B67" s="238"/>
      <c r="C67" s="238"/>
      <c r="D67" s="238"/>
      <c r="E67" s="238"/>
      <c r="F67" s="238"/>
      <c r="G67" s="238"/>
      <c r="H67" s="238"/>
    </row>
    <row r="68" spans="1:8" ht="15.75" customHeight="1">
      <c r="A68" s="76"/>
      <c r="B68" s="238"/>
      <c r="C68" s="238"/>
      <c r="D68" s="238"/>
      <c r="E68" s="238"/>
      <c r="F68" s="238"/>
      <c r="G68" s="238"/>
      <c r="H68" s="238"/>
    </row>
    <row r="69" spans="1:8" ht="15.75" customHeight="1">
      <c r="A69" s="76"/>
      <c r="B69" s="238"/>
      <c r="C69" s="238"/>
      <c r="D69" s="238"/>
      <c r="E69" s="238"/>
      <c r="F69" s="238"/>
      <c r="G69" s="238"/>
      <c r="H69" s="238"/>
    </row>
    <row r="70" spans="1:8" ht="15.75" customHeight="1">
      <c r="A70" s="76"/>
      <c r="B70" s="238"/>
      <c r="C70" s="238"/>
      <c r="D70" s="238"/>
      <c r="E70" s="238"/>
      <c r="F70" s="238"/>
      <c r="G70" s="238"/>
      <c r="H70" s="238"/>
    </row>
    <row r="71" spans="1:8" ht="15.75" customHeight="1">
      <c r="A71" s="76" t="str">
        <f>A45</f>
        <v>Tomato</v>
      </c>
      <c r="B71" s="78"/>
      <c r="C71" s="78"/>
      <c r="D71" s="78"/>
      <c r="E71" s="78"/>
      <c r="F71" s="78"/>
      <c r="G71" s="78"/>
      <c r="H71" s="78"/>
    </row>
    <row r="72" spans="1:8" ht="15.75" customHeight="1">
      <c r="A72" s="76"/>
      <c r="B72" s="78"/>
      <c r="C72" s="78"/>
      <c r="D72" s="78"/>
      <c r="E72" s="78"/>
      <c r="F72" s="78"/>
      <c r="G72" s="78"/>
      <c r="H72" s="78"/>
    </row>
    <row r="73" spans="1:8" ht="15.75" customHeight="1">
      <c r="A73" s="76"/>
      <c r="B73" s="78"/>
      <c r="C73" s="78"/>
      <c r="D73" s="78"/>
      <c r="E73" s="78"/>
      <c r="F73" s="78"/>
      <c r="G73" s="78"/>
      <c r="H73" s="78"/>
    </row>
    <row r="74" spans="1:8" ht="15.75" customHeight="1">
      <c r="A74" s="76"/>
      <c r="B74" s="78"/>
      <c r="C74" s="78"/>
      <c r="D74" s="78"/>
      <c r="E74" s="78"/>
      <c r="F74" s="78"/>
      <c r="G74" s="78"/>
      <c r="H74" s="78"/>
    </row>
    <row r="75" spans="1:8" ht="15.75" customHeight="1">
      <c r="A75" s="76" t="str">
        <f>A46</f>
        <v>Okra</v>
      </c>
      <c r="B75" s="78"/>
      <c r="C75" s="78"/>
      <c r="D75" s="78"/>
      <c r="E75" s="78"/>
      <c r="F75" s="78"/>
      <c r="G75" s="78"/>
      <c r="H75" s="78"/>
    </row>
    <row r="76" spans="1:8" ht="15.75" customHeight="1">
      <c r="A76" s="76"/>
      <c r="B76" s="78"/>
      <c r="C76" s="78"/>
      <c r="D76" s="78"/>
      <c r="E76" s="78"/>
      <c r="F76" s="78"/>
      <c r="G76" s="78"/>
      <c r="H76" s="78"/>
    </row>
    <row r="77" spans="1:8" ht="15.75" customHeight="1">
      <c r="A77" s="76"/>
      <c r="B77" s="78"/>
      <c r="C77" s="78"/>
      <c r="D77" s="78"/>
      <c r="E77" s="78"/>
      <c r="F77" s="78"/>
      <c r="G77" s="78"/>
      <c r="H77" s="78"/>
    </row>
    <row r="78" spans="1:8" ht="15.75" customHeight="1">
      <c r="A78" s="76"/>
      <c r="B78" s="78"/>
      <c r="C78" s="78"/>
      <c r="D78" s="78"/>
      <c r="E78" s="78"/>
      <c r="F78" s="78"/>
      <c r="G78" s="78"/>
      <c r="H78" s="78"/>
    </row>
    <row r="79" spans="1:8" ht="15.75" customHeight="1">
      <c r="A79" s="76" t="str">
        <f>A47</f>
        <v>Chilli</v>
      </c>
      <c r="B79" s="78"/>
      <c r="C79" s="78"/>
      <c r="D79" s="78"/>
      <c r="E79" s="78"/>
      <c r="F79" s="78"/>
      <c r="G79" s="78"/>
      <c r="H79" s="78"/>
    </row>
    <row r="80" spans="1:8" ht="15.75" customHeight="1">
      <c r="A80" s="76"/>
      <c r="B80" s="78"/>
      <c r="C80" s="78"/>
      <c r="D80" s="78"/>
      <c r="E80" s="78"/>
      <c r="F80" s="78"/>
      <c r="G80" s="78"/>
      <c r="H80" s="78"/>
    </row>
    <row r="81" spans="1:8" ht="15.75" customHeight="1">
      <c r="A81" s="76"/>
      <c r="B81" s="78"/>
      <c r="C81" s="78"/>
      <c r="D81" s="78"/>
      <c r="E81" s="78"/>
      <c r="F81" s="78"/>
      <c r="G81" s="78"/>
      <c r="H81" s="78"/>
    </row>
    <row r="82" spans="1:8" ht="15.75" customHeight="1">
      <c r="A82" s="76"/>
      <c r="B82" s="78"/>
      <c r="C82" s="78"/>
      <c r="D82" s="78"/>
      <c r="E82" s="78"/>
      <c r="F82" s="78"/>
      <c r="G82" s="78"/>
      <c r="H82" s="78"/>
    </row>
    <row r="83" spans="1:8" ht="15.75" customHeight="1">
      <c r="A83" s="76" t="str">
        <f>A48</f>
        <v>Potato</v>
      </c>
      <c r="B83" s="78"/>
      <c r="C83" s="78"/>
      <c r="D83" s="78"/>
      <c r="E83" s="78"/>
      <c r="F83" s="78"/>
      <c r="G83" s="78"/>
      <c r="H83" s="78"/>
    </row>
    <row r="84" spans="1:8" ht="15.75" customHeight="1">
      <c r="A84" s="76"/>
      <c r="B84" s="78"/>
      <c r="C84" s="78"/>
      <c r="D84" s="78"/>
      <c r="E84" s="78"/>
      <c r="F84" s="78"/>
      <c r="G84" s="78"/>
      <c r="H84" s="78"/>
    </row>
    <row r="85" spans="1:8" ht="15.75" customHeight="1">
      <c r="A85" s="76"/>
      <c r="B85" s="78"/>
      <c r="C85" s="78"/>
      <c r="D85" s="78"/>
      <c r="E85" s="78"/>
      <c r="F85" s="78"/>
      <c r="G85" s="78"/>
      <c r="H85" s="78"/>
    </row>
    <row r="86" spans="1:8" ht="15.75" customHeight="1">
      <c r="A86" s="76"/>
      <c r="B86" s="78"/>
      <c r="C86" s="78"/>
      <c r="D86" s="78"/>
      <c r="E86" s="78"/>
      <c r="F86" s="78"/>
      <c r="G86" s="78"/>
      <c r="H86" s="78"/>
    </row>
    <row r="87" spans="1:8" ht="15.75" customHeight="1">
      <c r="A87" s="76">
        <f>A49</f>
        <v>0</v>
      </c>
      <c r="B87" s="78"/>
      <c r="C87" s="78"/>
      <c r="D87" s="78"/>
      <c r="E87" s="78"/>
      <c r="F87" s="78"/>
      <c r="G87" s="78"/>
      <c r="H87" s="78"/>
    </row>
    <row r="88" spans="1:8" ht="15.75" customHeight="1">
      <c r="A88" s="76"/>
      <c r="B88" s="78"/>
      <c r="C88" s="78"/>
      <c r="D88" s="78"/>
      <c r="E88" s="78"/>
      <c r="F88" s="78"/>
      <c r="G88" s="78"/>
      <c r="H88" s="78"/>
    </row>
    <row r="89" spans="1:8" ht="15.75" customHeight="1">
      <c r="A89" s="76"/>
      <c r="B89" s="78"/>
      <c r="C89" s="78"/>
      <c r="D89" s="78"/>
      <c r="E89" s="78"/>
      <c r="F89" s="78"/>
      <c r="G89" s="78"/>
      <c r="H89" s="78"/>
    </row>
    <row r="90" spans="1:8" ht="15.75" customHeight="1">
      <c r="A90" s="76"/>
      <c r="B90" s="78"/>
      <c r="C90" s="78"/>
      <c r="D90" s="78"/>
      <c r="E90" s="78"/>
      <c r="F90" s="78"/>
      <c r="G90" s="78"/>
      <c r="H90" s="78"/>
    </row>
    <row r="91" spans="1:8" ht="15.75" customHeight="1">
      <c r="A91" s="76">
        <f>A50</f>
        <v>0</v>
      </c>
      <c r="B91" s="78"/>
      <c r="C91" s="78"/>
      <c r="D91" s="78"/>
      <c r="E91" s="78"/>
      <c r="F91" s="78"/>
      <c r="G91" s="78"/>
      <c r="H91" s="78"/>
    </row>
    <row r="92" spans="1:8" ht="15.75" customHeight="1">
      <c r="A92" s="76"/>
      <c r="B92" s="78"/>
      <c r="C92" s="78"/>
      <c r="D92" s="78"/>
      <c r="E92" s="78"/>
      <c r="F92" s="78"/>
      <c r="G92" s="78"/>
      <c r="H92" s="78"/>
    </row>
    <row r="93" spans="1:8" ht="15.75" customHeight="1">
      <c r="A93" s="76"/>
      <c r="B93" s="78"/>
      <c r="C93" s="78"/>
      <c r="D93" s="78"/>
      <c r="E93" s="78"/>
      <c r="F93" s="78"/>
      <c r="G93" s="78"/>
      <c r="H93" s="78"/>
    </row>
    <row r="94" spans="1:8" ht="15.75" customHeight="1">
      <c r="A94" s="76">
        <f>A51</f>
        <v>0</v>
      </c>
      <c r="B94" s="78"/>
      <c r="C94" s="78"/>
      <c r="D94" s="78"/>
      <c r="E94" s="78"/>
      <c r="F94" s="78"/>
      <c r="G94" s="78"/>
      <c r="H94" s="78"/>
    </row>
    <row r="95" spans="1:8" ht="15.75" customHeight="1">
      <c r="A95" s="76"/>
      <c r="B95" s="78"/>
      <c r="C95" s="78"/>
      <c r="D95" s="78"/>
      <c r="E95" s="78"/>
      <c r="F95" s="78"/>
      <c r="G95" s="78"/>
      <c r="H95" s="78"/>
    </row>
    <row r="96" spans="1:8" ht="15.75" customHeight="1">
      <c r="A96" s="76"/>
      <c r="B96" s="78"/>
      <c r="C96" s="78"/>
      <c r="D96" s="78"/>
      <c r="E96" s="78"/>
      <c r="F96" s="78"/>
      <c r="G96" s="78"/>
      <c r="H96" s="78"/>
    </row>
    <row r="97" spans="1:8" ht="15.75" customHeight="1">
      <c r="A97" s="76"/>
      <c r="B97" s="78"/>
      <c r="C97" s="78"/>
      <c r="D97" s="78"/>
      <c r="E97" s="78"/>
      <c r="F97" s="78"/>
      <c r="G97" s="78"/>
      <c r="H97" s="78"/>
    </row>
    <row r="98" spans="1:8" ht="15.75" customHeight="1">
      <c r="A98" s="76">
        <f>A52</f>
        <v>0</v>
      </c>
      <c r="B98" s="78"/>
      <c r="C98" s="78"/>
      <c r="D98" s="78"/>
      <c r="E98" s="78"/>
      <c r="F98" s="78"/>
      <c r="G98" s="78"/>
      <c r="H98" s="78"/>
    </row>
    <row r="99" spans="1:8" ht="15.75" customHeight="1">
      <c r="A99" s="76"/>
      <c r="B99" s="78"/>
      <c r="C99" s="78"/>
      <c r="D99" s="78"/>
      <c r="E99" s="78"/>
      <c r="F99" s="78"/>
      <c r="G99" s="78"/>
      <c r="H99" s="78"/>
    </row>
    <row r="100" spans="1:8" ht="15.75" customHeight="1">
      <c r="A100" s="76"/>
      <c r="B100" s="78"/>
      <c r="C100" s="78"/>
      <c r="D100" s="78"/>
      <c r="E100" s="78"/>
      <c r="F100" s="78"/>
      <c r="G100" s="78"/>
      <c r="H100" s="78"/>
    </row>
    <row r="101" spans="1:8" ht="15.75" customHeight="1">
      <c r="A101" s="76"/>
      <c r="B101" s="78"/>
      <c r="C101" s="78"/>
      <c r="D101" s="78"/>
      <c r="E101" s="78"/>
      <c r="F101" s="78"/>
      <c r="G101" s="78"/>
      <c r="H101" s="78"/>
    </row>
    <row r="102" spans="1:8" ht="15.75" customHeight="1">
      <c r="A102" s="76" t="str">
        <f>A53</f>
        <v>Onion</v>
      </c>
      <c r="B102" s="78"/>
      <c r="C102" s="78"/>
      <c r="D102" s="78"/>
      <c r="E102" s="78"/>
      <c r="F102" s="78"/>
      <c r="G102" s="78"/>
      <c r="H102" s="78"/>
    </row>
    <row r="103" spans="1:8" ht="15.75" customHeight="1">
      <c r="A103" s="76"/>
      <c r="B103" s="78"/>
      <c r="C103" s="78"/>
      <c r="D103" s="78"/>
      <c r="E103" s="78"/>
      <c r="F103" s="78"/>
      <c r="G103" s="78"/>
      <c r="H103" s="78"/>
    </row>
    <row r="104" spans="1:8" ht="15.75" customHeight="1">
      <c r="A104" s="76"/>
      <c r="B104" s="78"/>
      <c r="C104" s="78"/>
      <c r="D104" s="78"/>
      <c r="E104" s="78"/>
      <c r="F104" s="78"/>
      <c r="G104" s="78"/>
      <c r="H104" s="78"/>
    </row>
    <row r="105" spans="1:8" ht="15.75" customHeight="1">
      <c r="A105" s="76"/>
      <c r="B105" s="78"/>
      <c r="C105" s="78"/>
      <c r="D105" s="78"/>
      <c r="E105" s="78"/>
      <c r="F105" s="78"/>
      <c r="G105" s="78"/>
      <c r="H105" s="78"/>
    </row>
    <row r="106" spans="1:8" ht="15.75" customHeight="1">
      <c r="A106" s="76" t="str">
        <f>A54</f>
        <v>Tomato</v>
      </c>
      <c r="B106" s="78"/>
      <c r="C106" s="78"/>
      <c r="D106" s="78"/>
      <c r="E106" s="78"/>
      <c r="F106" s="78"/>
      <c r="G106" s="78"/>
      <c r="H106" s="78"/>
    </row>
    <row r="107" spans="1:8" ht="15.75" customHeight="1">
      <c r="A107" s="76"/>
      <c r="B107" s="78"/>
      <c r="C107" s="78"/>
      <c r="D107" s="78"/>
      <c r="E107" s="78"/>
      <c r="F107" s="78"/>
      <c r="G107" s="78"/>
      <c r="H107" s="78"/>
    </row>
    <row r="108" spans="1:8" ht="15.75" customHeight="1">
      <c r="A108" s="76"/>
      <c r="B108" s="78"/>
      <c r="C108" s="78"/>
      <c r="D108" s="78"/>
      <c r="E108" s="78"/>
      <c r="F108" s="78"/>
      <c r="G108" s="78"/>
      <c r="H108" s="78"/>
    </row>
    <row r="109" spans="1:8" ht="15.75" customHeight="1">
      <c r="A109" s="76"/>
      <c r="B109" s="78"/>
      <c r="C109" s="78"/>
      <c r="D109" s="78"/>
      <c r="E109" s="78"/>
      <c r="F109" s="78"/>
      <c r="G109" s="78"/>
      <c r="H109" s="78"/>
    </row>
    <row r="110" spans="1:8" ht="15.75" customHeight="1">
      <c r="A110" s="76" t="str">
        <f>A55</f>
        <v>Okra</v>
      </c>
      <c r="B110" s="78"/>
      <c r="C110" s="78"/>
      <c r="D110" s="78"/>
      <c r="E110" s="78"/>
      <c r="F110" s="78"/>
      <c r="G110" s="78"/>
      <c r="H110" s="78"/>
    </row>
    <row r="111" spans="1:8" ht="15.75" customHeight="1">
      <c r="A111" s="76"/>
      <c r="B111" s="78"/>
      <c r="C111" s="78"/>
      <c r="D111" s="78"/>
      <c r="E111" s="78"/>
      <c r="F111" s="78"/>
      <c r="G111" s="78"/>
      <c r="H111" s="78"/>
    </row>
    <row r="112" spans="1:8" ht="15.75" customHeight="1">
      <c r="A112" s="76"/>
      <c r="B112" s="78"/>
      <c r="C112" s="78"/>
      <c r="D112" s="78"/>
      <c r="E112" s="78"/>
      <c r="F112" s="78"/>
      <c r="G112" s="78"/>
      <c r="H112" s="78"/>
    </row>
    <row r="113" spans="1:8" ht="15.75" customHeight="1">
      <c r="A113" s="76"/>
      <c r="B113" s="78"/>
      <c r="C113" s="78"/>
      <c r="D113" s="78"/>
      <c r="E113" s="78"/>
      <c r="F113" s="78"/>
      <c r="G113" s="78"/>
      <c r="H113" s="78"/>
    </row>
    <row r="114" spans="1:8" ht="15.75" customHeight="1">
      <c r="A114" s="76" t="str">
        <f>A56</f>
        <v>Chilli</v>
      </c>
      <c r="B114" s="78"/>
      <c r="C114" s="78"/>
      <c r="D114" s="78"/>
      <c r="E114" s="78"/>
      <c r="F114" s="78"/>
      <c r="G114" s="78"/>
      <c r="H114" s="78"/>
    </row>
    <row r="115" spans="1:8" ht="15.75" customHeight="1">
      <c r="A115" s="76"/>
      <c r="B115" s="78"/>
      <c r="C115" s="78"/>
      <c r="D115" s="78"/>
      <c r="E115" s="78"/>
      <c r="F115" s="78"/>
      <c r="G115" s="78"/>
      <c r="H115" s="78"/>
    </row>
    <row r="116" spans="1:8" ht="15.75" customHeight="1">
      <c r="A116" s="76"/>
      <c r="B116" s="78"/>
      <c r="C116" s="78"/>
      <c r="D116" s="78"/>
      <c r="E116" s="78"/>
      <c r="F116" s="78"/>
      <c r="G116" s="78"/>
      <c r="H116" s="78"/>
    </row>
    <row r="117" spans="1:8" ht="15.75" customHeight="1">
      <c r="A117" s="76"/>
      <c r="B117" s="78"/>
      <c r="C117" s="78"/>
      <c r="D117" s="78"/>
      <c r="E117" s="78"/>
      <c r="F117" s="78"/>
      <c r="G117" s="78"/>
      <c r="H117" s="78"/>
    </row>
    <row r="118" spans="1:8" ht="15.75" customHeight="1">
      <c r="A118" s="79" t="str">
        <f t="shared" ref="A118:A123" si="18">A57</f>
        <v>Brinjal</v>
      </c>
      <c r="B118" s="78"/>
      <c r="C118" s="78"/>
      <c r="D118" s="78"/>
      <c r="E118" s="78"/>
      <c r="F118" s="78"/>
      <c r="G118" s="78"/>
      <c r="H118" s="78"/>
    </row>
    <row r="119" spans="1:8" ht="15.75" customHeight="1">
      <c r="A119" s="76">
        <f t="shared" si="18"/>
        <v>0</v>
      </c>
      <c r="B119" s="78"/>
      <c r="C119" s="78"/>
      <c r="D119" s="78"/>
      <c r="E119" s="78"/>
      <c r="F119" s="78"/>
      <c r="G119" s="78"/>
      <c r="H119" s="78"/>
    </row>
    <row r="120" spans="1:8" ht="15.75" customHeight="1">
      <c r="A120" s="76">
        <f t="shared" si="18"/>
        <v>0</v>
      </c>
      <c r="B120" s="78"/>
      <c r="C120" s="78"/>
      <c r="D120" s="78"/>
      <c r="E120" s="78"/>
      <c r="F120" s="78"/>
      <c r="G120" s="78"/>
      <c r="H120" s="78"/>
    </row>
    <row r="121" spans="1:8" ht="15.75" customHeight="1">
      <c r="A121" s="76">
        <f t="shared" si="18"/>
        <v>0</v>
      </c>
      <c r="B121" s="78"/>
      <c r="C121" s="78"/>
      <c r="D121" s="78"/>
      <c r="E121" s="78"/>
      <c r="F121" s="78"/>
      <c r="G121" s="78"/>
      <c r="H121" s="78"/>
    </row>
    <row r="122" spans="1:8" ht="15.75" customHeight="1">
      <c r="A122" s="76">
        <f t="shared" si="18"/>
        <v>0</v>
      </c>
      <c r="B122" s="78"/>
      <c r="C122" s="78"/>
      <c r="D122" s="78"/>
      <c r="E122" s="78"/>
      <c r="F122" s="78"/>
      <c r="G122" s="78"/>
      <c r="H122" s="78"/>
    </row>
    <row r="123" spans="1:8" ht="15.75" customHeight="1">
      <c r="A123" s="79" t="str">
        <f t="shared" si="18"/>
        <v>Pomegranate</v>
      </c>
      <c r="B123" s="78"/>
      <c r="C123" s="78"/>
      <c r="D123" s="78"/>
      <c r="E123" s="78"/>
      <c r="F123" s="78"/>
      <c r="G123" s="78"/>
      <c r="H123" s="78"/>
    </row>
    <row r="124" spans="1:8" ht="15.75" customHeight="1">
      <c r="A124" s="76" t="s">
        <v>688</v>
      </c>
      <c r="B124" s="78">
        <f t="shared" ref="B124:H124" si="19">(B$62*50%)*0.7</f>
        <v>0</v>
      </c>
      <c r="C124" s="78">
        <f t="shared" si="19"/>
        <v>0</v>
      </c>
      <c r="D124" s="78">
        <f t="shared" si="19"/>
        <v>0</v>
      </c>
      <c r="E124" s="78">
        <f t="shared" si="19"/>
        <v>0</v>
      </c>
      <c r="F124" s="78">
        <f t="shared" si="19"/>
        <v>0</v>
      </c>
      <c r="G124" s="78">
        <f t="shared" si="19"/>
        <v>0</v>
      </c>
      <c r="H124" s="78">
        <f t="shared" si="19"/>
        <v>0</v>
      </c>
    </row>
    <row r="125" spans="1:8" ht="15.75" customHeight="1">
      <c r="A125" s="76" t="s">
        <v>689</v>
      </c>
      <c r="B125" s="78">
        <f>(B$62*50%)*0.7*2</f>
        <v>0</v>
      </c>
      <c r="C125" s="78">
        <f t="shared" ref="C125:H125" si="20">(C$62*50%)*0.7</f>
        <v>0</v>
      </c>
      <c r="D125" s="78">
        <f t="shared" si="20"/>
        <v>0</v>
      </c>
      <c r="E125" s="78">
        <f t="shared" si="20"/>
        <v>0</v>
      </c>
      <c r="F125" s="78">
        <f t="shared" si="20"/>
        <v>0</v>
      </c>
      <c r="G125" s="78">
        <f t="shared" si="20"/>
        <v>0</v>
      </c>
      <c r="H125" s="78">
        <f t="shared" si="20"/>
        <v>0</v>
      </c>
    </row>
    <row r="126" spans="1:8" ht="15.75" customHeight="1">
      <c r="A126" s="76" t="s">
        <v>690</v>
      </c>
      <c r="B126" s="78">
        <f>(B$62*0.3)*0.2</f>
        <v>0</v>
      </c>
      <c r="C126" s="78">
        <f t="shared" ref="C126:H126" si="21">(C$62*50%)*0.7</f>
        <v>0</v>
      </c>
      <c r="D126" s="78">
        <f t="shared" si="21"/>
        <v>0</v>
      </c>
      <c r="E126" s="78">
        <f t="shared" si="21"/>
        <v>0</v>
      </c>
      <c r="F126" s="78">
        <f t="shared" si="21"/>
        <v>0</v>
      </c>
      <c r="G126" s="78">
        <f t="shared" si="21"/>
        <v>0</v>
      </c>
      <c r="H126" s="78">
        <f t="shared" si="21"/>
        <v>0</v>
      </c>
    </row>
    <row r="127" spans="1:8" ht="15.75" customHeight="1">
      <c r="A127" s="76" t="str">
        <f>A63</f>
        <v>Custard Apple</v>
      </c>
      <c r="B127" s="78"/>
      <c r="C127" s="78"/>
      <c r="D127" s="78"/>
      <c r="E127" s="78"/>
      <c r="F127" s="78"/>
      <c r="G127" s="78"/>
      <c r="H127" s="78"/>
    </row>
    <row r="128" spans="1:8" ht="15.75" customHeight="1">
      <c r="A128" s="76"/>
      <c r="B128" s="78"/>
      <c r="C128" s="78"/>
      <c r="D128" s="78"/>
      <c r="E128" s="78"/>
      <c r="F128" s="78"/>
      <c r="G128" s="78"/>
      <c r="H128" s="78"/>
    </row>
    <row r="129" spans="1:8" ht="15.75" customHeight="1">
      <c r="A129" s="76"/>
      <c r="B129" s="78"/>
      <c r="C129" s="78"/>
      <c r="D129" s="78"/>
      <c r="E129" s="78"/>
      <c r="F129" s="78"/>
      <c r="G129" s="78"/>
      <c r="H129" s="78"/>
    </row>
    <row r="130" spans="1:8" ht="15.75" customHeight="1">
      <c r="A130" s="76"/>
      <c r="B130" s="78"/>
      <c r="C130" s="78"/>
      <c r="D130" s="78"/>
      <c r="E130" s="78"/>
      <c r="F130" s="78"/>
      <c r="G130" s="78"/>
      <c r="H130" s="78"/>
    </row>
    <row r="131" spans="1:8" ht="15.75" customHeight="1">
      <c r="A131" s="76" t="str">
        <f>A64</f>
        <v>Guava</v>
      </c>
      <c r="B131" s="78"/>
      <c r="C131" s="78"/>
      <c r="D131" s="78"/>
      <c r="E131" s="78"/>
      <c r="F131" s="78"/>
      <c r="G131" s="78"/>
      <c r="H131" s="78"/>
    </row>
    <row r="132" spans="1:8" ht="15.75" customHeight="1">
      <c r="A132" s="76"/>
      <c r="B132" s="78"/>
      <c r="C132" s="78"/>
      <c r="D132" s="78"/>
      <c r="E132" s="78"/>
      <c r="F132" s="78"/>
      <c r="G132" s="78"/>
      <c r="H132" s="78"/>
    </row>
    <row r="133" spans="1:8" ht="15.75" customHeight="1">
      <c r="A133" s="76"/>
      <c r="B133" s="78"/>
      <c r="C133" s="78"/>
      <c r="D133" s="78"/>
      <c r="E133" s="78"/>
      <c r="F133" s="78"/>
      <c r="G133" s="78"/>
      <c r="H133" s="78"/>
    </row>
    <row r="134" spans="1:8" ht="15.75" customHeight="1">
      <c r="A134" s="76"/>
      <c r="B134" s="78"/>
      <c r="C134" s="78"/>
      <c r="D134" s="78"/>
      <c r="E134" s="78"/>
      <c r="F134" s="78"/>
      <c r="G134" s="78"/>
      <c r="H134" s="78"/>
    </row>
    <row r="135" spans="1:8" ht="15.75" customHeight="1">
      <c r="A135" s="76" t="str">
        <f>A65</f>
        <v>Citrus</v>
      </c>
      <c r="B135" s="78"/>
      <c r="C135" s="78"/>
      <c r="D135" s="78"/>
      <c r="E135" s="78"/>
      <c r="F135" s="78"/>
      <c r="G135" s="78"/>
      <c r="H135" s="78"/>
    </row>
    <row r="136" spans="1:8" ht="15.75" customHeight="1">
      <c r="A136" s="76"/>
      <c r="B136" s="78"/>
      <c r="C136" s="78"/>
      <c r="D136" s="78"/>
      <c r="E136" s="78"/>
      <c r="F136" s="78"/>
      <c r="G136" s="78"/>
      <c r="H136" s="78"/>
    </row>
    <row r="137" spans="1:8" ht="15.75" customHeight="1">
      <c r="A137" s="76"/>
      <c r="B137" s="78"/>
      <c r="C137" s="78"/>
      <c r="D137" s="78"/>
      <c r="E137" s="78"/>
      <c r="F137" s="78"/>
      <c r="G137" s="78"/>
      <c r="H137" s="78"/>
    </row>
    <row r="138" spans="1:8" ht="15.75" customHeight="1">
      <c r="A138" s="76"/>
      <c r="B138" s="78"/>
      <c r="C138" s="78"/>
      <c r="D138" s="78"/>
      <c r="E138" s="78"/>
      <c r="F138" s="78"/>
      <c r="G138" s="78"/>
      <c r="H138" s="78"/>
    </row>
    <row r="139" spans="1:8" ht="15.75" customHeight="1">
      <c r="A139" s="71"/>
      <c r="B139" s="118"/>
      <c r="C139" s="118"/>
      <c r="D139" s="118"/>
      <c r="E139" s="118"/>
      <c r="F139" s="118"/>
      <c r="G139" s="118"/>
      <c r="H139" s="118"/>
    </row>
    <row r="140" spans="1:8" ht="15.75" customHeight="1">
      <c r="A140" s="71" t="s">
        <v>609</v>
      </c>
    </row>
    <row r="141" spans="1:8" ht="15.75" customHeight="1">
      <c r="A141" t="s">
        <v>691</v>
      </c>
      <c r="B141" s="156">
        <f t="shared" ref="B141:H141" si="22">(B124*100)</f>
        <v>0</v>
      </c>
      <c r="C141" s="156">
        <f t="shared" si="22"/>
        <v>0</v>
      </c>
      <c r="D141" s="156">
        <f t="shared" si="22"/>
        <v>0</v>
      </c>
      <c r="E141" s="156">
        <f t="shared" si="22"/>
        <v>0</v>
      </c>
      <c r="F141" s="156">
        <f t="shared" si="22"/>
        <v>0</v>
      </c>
      <c r="G141" s="156">
        <f t="shared" si="22"/>
        <v>0</v>
      </c>
      <c r="H141" s="156">
        <f t="shared" si="22"/>
        <v>0</v>
      </c>
    </row>
    <row r="142" spans="1:8" ht="15.75" customHeight="1">
      <c r="A142" t="s">
        <v>692</v>
      </c>
      <c r="B142" s="156">
        <f t="shared" ref="B142:H142" si="23">(B125*100)</f>
        <v>0</v>
      </c>
      <c r="C142" s="156">
        <f t="shared" si="23"/>
        <v>0</v>
      </c>
      <c r="D142" s="156">
        <f t="shared" si="23"/>
        <v>0</v>
      </c>
      <c r="E142" s="156">
        <f t="shared" si="23"/>
        <v>0</v>
      </c>
      <c r="F142" s="156">
        <f t="shared" si="23"/>
        <v>0</v>
      </c>
      <c r="G142" s="156">
        <f t="shared" si="23"/>
        <v>0</v>
      </c>
      <c r="H142" s="156">
        <f t="shared" si="23"/>
        <v>0</v>
      </c>
    </row>
    <row r="143" spans="1:8" ht="15.75" customHeight="1">
      <c r="A143" t="s">
        <v>693</v>
      </c>
      <c r="B143" s="156">
        <f t="shared" ref="B143:H143" si="24">(B126*100)</f>
        <v>0</v>
      </c>
      <c r="C143" s="156">
        <f t="shared" si="24"/>
        <v>0</v>
      </c>
      <c r="D143" s="156">
        <f t="shared" si="24"/>
        <v>0</v>
      </c>
      <c r="E143" s="156">
        <f t="shared" si="24"/>
        <v>0</v>
      </c>
      <c r="F143" s="156">
        <f t="shared" si="24"/>
        <v>0</v>
      </c>
      <c r="G143" s="156">
        <f t="shared" si="24"/>
        <v>0</v>
      </c>
      <c r="H143" s="156">
        <f t="shared" si="24"/>
        <v>0</v>
      </c>
    </row>
    <row r="144" spans="1:8" ht="15.75" customHeight="1"/>
    <row r="145" spans="1:10" ht="15.75" customHeight="1">
      <c r="B145" s="156"/>
      <c r="C145" s="156"/>
    </row>
    <row r="146" spans="1:10" ht="15.75" customHeight="1">
      <c r="B146" s="156"/>
      <c r="C146" s="156"/>
      <c r="D146" s="156"/>
    </row>
    <row r="147" spans="1:10" ht="15.75" customHeight="1">
      <c r="A147" s="351" t="s">
        <v>694</v>
      </c>
      <c r="B147" s="335"/>
      <c r="C147" s="335"/>
      <c r="D147" s="335"/>
      <c r="E147" s="335"/>
      <c r="F147" s="335"/>
      <c r="G147" s="335"/>
      <c r="H147" s="335"/>
      <c r="I147" s="335"/>
      <c r="J147" s="335"/>
    </row>
    <row r="148" spans="1:10" ht="15.75" customHeight="1">
      <c r="A148" s="26"/>
      <c r="B148" s="26"/>
      <c r="C148" s="26"/>
      <c r="D148" s="26"/>
      <c r="E148" s="26"/>
      <c r="F148" s="26"/>
      <c r="G148" s="26"/>
      <c r="H148" s="26"/>
    </row>
    <row r="149" spans="1:10" ht="15.75" customHeight="1">
      <c r="A149" s="95"/>
      <c r="B149" s="95"/>
      <c r="C149" s="95"/>
      <c r="D149" s="271">
        <v>1</v>
      </c>
      <c r="E149" s="272">
        <f t="shared" ref="E149:J149" si="25">(D149*5%)+D149</f>
        <v>1.05</v>
      </c>
      <c r="F149" s="272">
        <f t="shared" si="25"/>
        <v>1.1025</v>
      </c>
      <c r="G149" s="272">
        <f t="shared" si="25"/>
        <v>1.1576250000000001</v>
      </c>
      <c r="H149" s="272">
        <f t="shared" si="25"/>
        <v>1.2155062500000002</v>
      </c>
      <c r="I149" s="272">
        <f t="shared" si="25"/>
        <v>1.2762815625000004</v>
      </c>
      <c r="J149" s="272">
        <f t="shared" si="25"/>
        <v>1.3400956406250004</v>
      </c>
    </row>
    <row r="150" spans="1:10" ht="15.75" customHeight="1">
      <c r="A150" s="71"/>
      <c r="B150" s="71"/>
      <c r="C150" s="71"/>
      <c r="D150" s="71"/>
      <c r="E150" s="71"/>
      <c r="F150" s="71"/>
      <c r="G150" s="71"/>
      <c r="H150" s="71"/>
      <c r="I150" s="71"/>
      <c r="J150" s="71"/>
    </row>
    <row r="151" spans="1:10" ht="15.75" customHeight="1">
      <c r="A151" s="74" t="s">
        <v>149</v>
      </c>
      <c r="B151" s="74" t="s">
        <v>122</v>
      </c>
      <c r="C151" s="74" t="s">
        <v>132</v>
      </c>
      <c r="D151" s="75" t="s">
        <v>152</v>
      </c>
      <c r="E151" s="75" t="s">
        <v>153</v>
      </c>
      <c r="F151" s="75" t="s">
        <v>154</v>
      </c>
      <c r="G151" s="75" t="s">
        <v>155</v>
      </c>
      <c r="H151" s="75" t="s">
        <v>156</v>
      </c>
      <c r="I151" s="75" t="s">
        <v>157</v>
      </c>
      <c r="J151" s="75" t="s">
        <v>158</v>
      </c>
    </row>
    <row r="152" spans="1:10" ht="15.75" customHeight="1">
      <c r="A152" s="76"/>
      <c r="B152" s="76"/>
      <c r="C152" s="76"/>
      <c r="D152" s="76"/>
      <c r="E152" s="76"/>
      <c r="F152" s="76"/>
      <c r="G152" s="76"/>
      <c r="H152" s="76"/>
      <c r="I152" s="76"/>
      <c r="J152" s="76"/>
    </row>
    <row r="153" spans="1:10" ht="15.75" customHeight="1">
      <c r="A153" s="79" t="s">
        <v>348</v>
      </c>
      <c r="B153" s="79"/>
      <c r="C153" s="79"/>
      <c r="D153" s="131"/>
      <c r="E153" s="131"/>
      <c r="F153" s="131"/>
      <c r="G153" s="131"/>
      <c r="H153" s="131"/>
      <c r="I153" s="76"/>
      <c r="J153" s="76"/>
    </row>
    <row r="154" spans="1:10" ht="15.75" customHeight="1">
      <c r="A154" s="76" t="str">
        <f t="shared" ref="A154:A156" si="26">A124</f>
        <v>Pomegranate Arils</v>
      </c>
      <c r="B154" s="50" t="s">
        <v>695</v>
      </c>
      <c r="C154" s="50">
        <v>150</v>
      </c>
      <c r="D154" s="78">
        <f>(B141*(1-'5.Closing Stock &amp; W Capital'!$D$18)*$C154*D$149)</f>
        <v>0</v>
      </c>
      <c r="E154" s="78">
        <f>(((C141*(1-'5.Closing Stock &amp; W Capital'!$D$18))+(B141*'5.Closing Stock &amp; W Capital'!$D$18))*$C154*E$149)</f>
        <v>0</v>
      </c>
      <c r="F154" s="78">
        <f>(((D141*(1-'5.Closing Stock &amp; W Capital'!$D$18))+(C141*'5.Closing Stock &amp; W Capital'!$D$18))*$C154*F$149)</f>
        <v>0</v>
      </c>
      <c r="G154" s="78">
        <f>(((E141*(1-'5.Closing Stock &amp; W Capital'!$D$18))+(D141*'5.Closing Stock &amp; W Capital'!$D$18))*$C154*G$149)</f>
        <v>0</v>
      </c>
      <c r="H154" s="78">
        <f>(((F141*(1-'5.Closing Stock &amp; W Capital'!$D$18))+(E141*'5.Closing Stock &amp; W Capital'!$D$18))*$C154*H$149)</f>
        <v>0</v>
      </c>
      <c r="I154" s="78">
        <f>(((G141*(1-'5.Closing Stock &amp; W Capital'!$D$18))+(F141*'5.Closing Stock &amp; W Capital'!$D$18))*$C154*I$149)</f>
        <v>0</v>
      </c>
      <c r="J154" s="78">
        <f>(((H141*(1-'5.Closing Stock &amp; W Capital'!$D$18))+(G141*'5.Closing Stock &amp; W Capital'!$D$18))*$C154*J$149)</f>
        <v>0</v>
      </c>
    </row>
    <row r="155" spans="1:10" ht="15.75" customHeight="1">
      <c r="A155" s="76" t="str">
        <f t="shared" si="26"/>
        <v>Pomegranate Juice</v>
      </c>
      <c r="B155" s="50" t="s">
        <v>696</v>
      </c>
      <c r="C155" s="50">
        <v>40</v>
      </c>
      <c r="D155" s="78">
        <f>(B142*(1-'5.Closing Stock &amp; W Capital'!$D$18)*$C155*D$149)</f>
        <v>0</v>
      </c>
      <c r="E155" s="78">
        <f>(((C142*(1-'5.Closing Stock &amp; W Capital'!$D$18))+(B142*'5.Closing Stock &amp; W Capital'!$D$18))*$C155*E$149)</f>
        <v>0</v>
      </c>
      <c r="F155" s="78">
        <f>(((D142*(1-'5.Closing Stock &amp; W Capital'!$D$18))+(C142*'5.Closing Stock &amp; W Capital'!$D$18))*$C155*F$149)</f>
        <v>0</v>
      </c>
      <c r="G155" s="78">
        <f>(((E142*(1-'5.Closing Stock &amp; W Capital'!$D$18))+(D142*'5.Closing Stock &amp; W Capital'!$D$18))*$C155*G$149)</f>
        <v>0</v>
      </c>
      <c r="H155" s="78">
        <f>(((F142*(1-'5.Closing Stock &amp; W Capital'!$D$18))+(E142*'5.Closing Stock &amp; W Capital'!$D$18))*$C155*H$149)</f>
        <v>0</v>
      </c>
      <c r="I155" s="78">
        <f>(((G142*(1-'5.Closing Stock &amp; W Capital'!$D$18))+(F142*'5.Closing Stock &amp; W Capital'!$D$18))*$C155*I$149)</f>
        <v>0</v>
      </c>
      <c r="J155" s="78">
        <f>(((H142*(1-'5.Closing Stock &amp; W Capital'!$D$18))+(G142*'5.Closing Stock &amp; W Capital'!$D$18))*$C155*J$149)</f>
        <v>0</v>
      </c>
    </row>
    <row r="156" spans="1:10" ht="15.75" customHeight="1">
      <c r="A156" s="76" t="str">
        <f t="shared" si="26"/>
        <v>Pomegranate Powder</v>
      </c>
      <c r="B156" s="50" t="s">
        <v>612</v>
      </c>
      <c r="C156" s="50">
        <v>50</v>
      </c>
      <c r="D156" s="78">
        <f>(B143*(1-'5.Closing Stock &amp; W Capital'!$D$18)*$C156*D$149)</f>
        <v>0</v>
      </c>
      <c r="E156" s="78">
        <f>(((C143*(1-'5.Closing Stock &amp; W Capital'!$D$18))+(B143*'5.Closing Stock &amp; W Capital'!$D$18))*$C156*E$149)</f>
        <v>0</v>
      </c>
      <c r="F156" s="78">
        <f>(((D143*(1-'5.Closing Stock &amp; W Capital'!$D$18))+(C143*'5.Closing Stock &amp; W Capital'!$D$18))*$C156*F$149)</f>
        <v>0</v>
      </c>
      <c r="G156" s="78">
        <f>(((E143*(1-'5.Closing Stock &amp; W Capital'!$D$18))+(D143*'5.Closing Stock &amp; W Capital'!$D$18))*$C156*G$149)</f>
        <v>0</v>
      </c>
      <c r="H156" s="78">
        <f>(((F143*(1-'5.Closing Stock &amp; W Capital'!$D$18))+(E143*'5.Closing Stock &amp; W Capital'!$D$18))*$C156*H$149)</f>
        <v>0</v>
      </c>
      <c r="I156" s="78">
        <f>(((G143*(1-'5.Closing Stock &amp; W Capital'!$D$18))+(F143*'5.Closing Stock &amp; W Capital'!$D$18))*$C156*I$149)</f>
        <v>0</v>
      </c>
      <c r="J156" s="78">
        <f>(((H143*(1-'5.Closing Stock &amp; W Capital'!$D$18))+(G143*'5.Closing Stock &amp; W Capital'!$D$18))*$C156*J$149)</f>
        <v>0</v>
      </c>
    </row>
    <row r="157" spans="1:10" ht="15.75" customHeight="1">
      <c r="A157" s="76"/>
      <c r="B157" s="50"/>
      <c r="C157" s="50"/>
      <c r="D157" s="78"/>
      <c r="E157" s="78"/>
      <c r="F157" s="78"/>
      <c r="G157" s="78"/>
      <c r="H157" s="78"/>
      <c r="I157" s="78"/>
      <c r="J157" s="78"/>
    </row>
    <row r="158" spans="1:10" ht="15.75" customHeight="1">
      <c r="A158" s="76"/>
      <c r="B158" s="76"/>
      <c r="C158" s="76"/>
      <c r="D158" s="78"/>
      <c r="E158" s="78"/>
      <c r="F158" s="78"/>
      <c r="G158" s="78"/>
      <c r="H158" s="78"/>
      <c r="I158" s="78"/>
      <c r="J158" s="78"/>
    </row>
    <row r="159" spans="1:10" ht="15.75" customHeight="1">
      <c r="A159" s="79" t="s">
        <v>348</v>
      </c>
      <c r="B159" s="79"/>
      <c r="C159" s="79"/>
      <c r="D159" s="80">
        <f t="shared" ref="D159:J159" si="27">SUM(D154:D157)</f>
        <v>0</v>
      </c>
      <c r="E159" s="80">
        <f t="shared" si="27"/>
        <v>0</v>
      </c>
      <c r="F159" s="80">
        <f t="shared" si="27"/>
        <v>0</v>
      </c>
      <c r="G159" s="80">
        <f t="shared" si="27"/>
        <v>0</v>
      </c>
      <c r="H159" s="80">
        <f t="shared" si="27"/>
        <v>0</v>
      </c>
      <c r="I159" s="80">
        <f t="shared" si="27"/>
        <v>0</v>
      </c>
      <c r="J159" s="80">
        <f t="shared" si="27"/>
        <v>0</v>
      </c>
    </row>
    <row r="160" spans="1:10" ht="15.75" customHeight="1">
      <c r="A160" s="76"/>
      <c r="B160" s="76"/>
      <c r="C160" s="76"/>
      <c r="D160" s="78"/>
      <c r="E160" s="78"/>
      <c r="F160" s="78"/>
      <c r="G160" s="78"/>
      <c r="H160" s="78"/>
      <c r="I160" s="78"/>
      <c r="J160" s="78"/>
    </row>
    <row r="161" spans="1:10" ht="15.75" customHeight="1">
      <c r="A161" s="79" t="s">
        <v>587</v>
      </c>
      <c r="B161" s="79"/>
      <c r="C161" s="79"/>
      <c r="D161" s="78"/>
      <c r="E161" s="78"/>
      <c r="F161" s="78"/>
      <c r="G161" s="78"/>
      <c r="H161" s="78"/>
      <c r="I161" s="78"/>
      <c r="J161" s="78"/>
    </row>
    <row r="162" spans="1:10" ht="15.75" customHeight="1">
      <c r="A162" s="79" t="s">
        <v>355</v>
      </c>
      <c r="B162" s="79"/>
      <c r="C162" s="76"/>
      <c r="D162" s="78"/>
      <c r="E162" s="78"/>
      <c r="F162" s="78"/>
      <c r="G162" s="78"/>
      <c r="H162" s="78"/>
      <c r="I162" s="78"/>
      <c r="J162" s="78"/>
    </row>
    <row r="163" spans="1:10" ht="15.75" customHeight="1">
      <c r="A163" s="76" t="s">
        <v>697</v>
      </c>
      <c r="B163" s="50" t="s">
        <v>585</v>
      </c>
      <c r="C163" s="77">
        <v>6000</v>
      </c>
      <c r="D163" s="78">
        <f t="shared" ref="D163:J163" si="28">B62*$C163*D$149</f>
        <v>0</v>
      </c>
      <c r="E163" s="78">
        <f t="shared" si="28"/>
        <v>0</v>
      </c>
      <c r="F163" s="78">
        <f t="shared" si="28"/>
        <v>0</v>
      </c>
      <c r="G163" s="78">
        <f t="shared" si="28"/>
        <v>0</v>
      </c>
      <c r="H163" s="78">
        <f t="shared" si="28"/>
        <v>0</v>
      </c>
      <c r="I163" s="78">
        <f t="shared" si="28"/>
        <v>0</v>
      </c>
      <c r="J163" s="78">
        <f t="shared" si="28"/>
        <v>0</v>
      </c>
    </row>
    <row r="164" spans="1:10" ht="15.75" customHeight="1">
      <c r="A164" s="76" t="s">
        <v>698</v>
      </c>
      <c r="B164" s="50" t="s">
        <v>585</v>
      </c>
      <c r="C164" s="50">
        <v>2000</v>
      </c>
      <c r="D164" s="78">
        <f t="shared" ref="D164:J164" si="29">(B62*10%)*$C164*D$149</f>
        <v>0</v>
      </c>
      <c r="E164" s="78">
        <f t="shared" si="29"/>
        <v>0</v>
      </c>
      <c r="F164" s="78">
        <f t="shared" si="29"/>
        <v>0</v>
      </c>
      <c r="G164" s="78">
        <f t="shared" si="29"/>
        <v>0</v>
      </c>
      <c r="H164" s="78">
        <f t="shared" si="29"/>
        <v>0</v>
      </c>
      <c r="I164" s="78">
        <f t="shared" si="29"/>
        <v>0</v>
      </c>
      <c r="J164" s="78">
        <f t="shared" si="29"/>
        <v>0</v>
      </c>
    </row>
    <row r="165" spans="1:10" ht="15.75" customHeight="1">
      <c r="A165" s="76" t="s">
        <v>613</v>
      </c>
      <c r="B165" s="50">
        <v>5</v>
      </c>
      <c r="C165" s="50">
        <v>300</v>
      </c>
      <c r="D165" s="78">
        <f t="shared" ref="D165:J165" si="30">B12*$B$165*$C$165*D149</f>
        <v>0</v>
      </c>
      <c r="E165" s="78">
        <f t="shared" si="30"/>
        <v>0</v>
      </c>
      <c r="F165" s="78">
        <f t="shared" si="30"/>
        <v>0</v>
      </c>
      <c r="G165" s="78">
        <f t="shared" si="30"/>
        <v>0</v>
      </c>
      <c r="H165" s="78">
        <f t="shared" si="30"/>
        <v>0</v>
      </c>
      <c r="I165" s="78">
        <f t="shared" si="30"/>
        <v>0</v>
      </c>
      <c r="J165" s="78">
        <f t="shared" si="30"/>
        <v>0</v>
      </c>
    </row>
    <row r="166" spans="1:10" ht="15.75" customHeight="1">
      <c r="A166" s="76" t="s">
        <v>589</v>
      </c>
      <c r="B166" s="76">
        <f>'2.Capex Details'!H60*0.746*8</f>
        <v>0</v>
      </c>
      <c r="C166" s="50">
        <v>8</v>
      </c>
      <c r="D166" s="78">
        <f t="shared" ref="D166:J166" si="31">$B$166*$C$166*B12*D149</f>
        <v>0</v>
      </c>
      <c r="E166" s="78">
        <f t="shared" si="31"/>
        <v>0</v>
      </c>
      <c r="F166" s="78">
        <f t="shared" si="31"/>
        <v>0</v>
      </c>
      <c r="G166" s="78">
        <f t="shared" si="31"/>
        <v>0</v>
      </c>
      <c r="H166" s="78">
        <f t="shared" si="31"/>
        <v>0</v>
      </c>
      <c r="I166" s="78">
        <f t="shared" si="31"/>
        <v>0</v>
      </c>
      <c r="J166" s="78">
        <f t="shared" si="31"/>
        <v>0</v>
      </c>
    </row>
    <row r="167" spans="1:10" ht="15.75" customHeight="1">
      <c r="A167" s="76" t="s">
        <v>614</v>
      </c>
      <c r="B167" s="76" t="s">
        <v>585</v>
      </c>
      <c r="C167" s="50">
        <v>10</v>
      </c>
      <c r="D167" s="78">
        <f t="shared" ref="D167:J167" si="32">B62*$C167*D$149</f>
        <v>0</v>
      </c>
      <c r="E167" s="78">
        <f t="shared" si="32"/>
        <v>0</v>
      </c>
      <c r="F167" s="78">
        <f t="shared" si="32"/>
        <v>0</v>
      </c>
      <c r="G167" s="78">
        <f t="shared" si="32"/>
        <v>0</v>
      </c>
      <c r="H167" s="78">
        <f t="shared" si="32"/>
        <v>0</v>
      </c>
      <c r="I167" s="78">
        <f t="shared" si="32"/>
        <v>0</v>
      </c>
      <c r="J167" s="78">
        <f t="shared" si="32"/>
        <v>0</v>
      </c>
    </row>
    <row r="168" spans="1:10" ht="15.75" customHeight="1">
      <c r="A168" s="195" t="s">
        <v>615</v>
      </c>
      <c r="B168" s="195"/>
      <c r="C168" s="278">
        <v>2</v>
      </c>
      <c r="D168" s="78">
        <f t="shared" ref="D168:J168" si="33">SUM(B141:B143)*$C$168*D$149</f>
        <v>0</v>
      </c>
      <c r="E168" s="78">
        <f t="shared" si="33"/>
        <v>0</v>
      </c>
      <c r="F168" s="78">
        <f t="shared" si="33"/>
        <v>0</v>
      </c>
      <c r="G168" s="78">
        <f t="shared" si="33"/>
        <v>0</v>
      </c>
      <c r="H168" s="78">
        <f t="shared" si="33"/>
        <v>0</v>
      </c>
      <c r="I168" s="78">
        <f t="shared" si="33"/>
        <v>0</v>
      </c>
      <c r="J168" s="78">
        <f t="shared" si="33"/>
        <v>0</v>
      </c>
    </row>
    <row r="169" spans="1:10" ht="15.75" customHeight="1">
      <c r="A169" s="76" t="s">
        <v>616</v>
      </c>
      <c r="B169" s="76"/>
      <c r="C169" s="50">
        <v>1</v>
      </c>
      <c r="D169" s="78">
        <f t="shared" ref="D169:J169" si="34">SUM(B141:B143)*$C$169*D$149</f>
        <v>0</v>
      </c>
      <c r="E169" s="78">
        <f t="shared" si="34"/>
        <v>0</v>
      </c>
      <c r="F169" s="78">
        <f t="shared" si="34"/>
        <v>0</v>
      </c>
      <c r="G169" s="78">
        <f t="shared" si="34"/>
        <v>0</v>
      </c>
      <c r="H169" s="78">
        <f t="shared" si="34"/>
        <v>0</v>
      </c>
      <c r="I169" s="78">
        <f t="shared" si="34"/>
        <v>0</v>
      </c>
      <c r="J169" s="78">
        <f t="shared" si="34"/>
        <v>0</v>
      </c>
    </row>
    <row r="170" spans="1:10" ht="15.75" customHeight="1">
      <c r="A170" s="138"/>
      <c r="B170" s="138"/>
      <c r="C170" s="138"/>
      <c r="D170" s="138"/>
      <c r="E170" s="138"/>
      <c r="F170" s="138"/>
      <c r="G170" s="138"/>
      <c r="H170" s="138"/>
      <c r="I170" s="138"/>
      <c r="J170" s="138"/>
    </row>
    <row r="171" spans="1:10" ht="15.75" customHeight="1">
      <c r="A171" s="138"/>
      <c r="B171" s="138"/>
      <c r="C171" s="138"/>
      <c r="D171" s="138"/>
      <c r="E171" s="138"/>
      <c r="F171" s="138"/>
      <c r="G171" s="138"/>
      <c r="H171" s="138"/>
      <c r="I171" s="138"/>
      <c r="J171" s="138"/>
    </row>
    <row r="172" spans="1:10" ht="15.75" customHeight="1">
      <c r="A172" s="138"/>
      <c r="B172" s="138"/>
      <c r="C172" s="138"/>
      <c r="D172" s="138"/>
      <c r="E172" s="138"/>
      <c r="F172" s="138"/>
      <c r="G172" s="138"/>
      <c r="H172" s="138"/>
      <c r="I172" s="138"/>
      <c r="J172" s="138"/>
    </row>
    <row r="173" spans="1:10" ht="15.75" customHeight="1">
      <c r="A173" s="138"/>
      <c r="B173" s="138"/>
      <c r="C173" s="138"/>
      <c r="D173" s="138"/>
      <c r="E173" s="138"/>
      <c r="F173" s="138"/>
      <c r="G173" s="138"/>
      <c r="H173" s="138"/>
      <c r="I173" s="138"/>
      <c r="J173" s="138"/>
    </row>
    <row r="174" spans="1:10" ht="15.75" customHeight="1">
      <c r="A174" s="78" t="s">
        <v>592</v>
      </c>
      <c r="B174" s="78"/>
      <c r="C174" s="78"/>
      <c r="D174" s="78"/>
      <c r="E174" s="78">
        <f>'5.Closing Stock &amp; W Capital'!F8</f>
        <v>949366.00800000003</v>
      </c>
      <c r="F174" s="78">
        <f>'5.Closing Stock &amp; W Capital'!G8</f>
        <v>996834.3084000001</v>
      </c>
      <c r="G174" s="78">
        <f>'5.Closing Stock &amp; W Capital'!H8</f>
        <v>1046676.02382</v>
      </c>
      <c r="H174" s="78">
        <f>'5.Closing Stock &amp; W Capital'!I8</f>
        <v>1099009.8250110003</v>
      </c>
      <c r="I174" s="78">
        <f>'5.Closing Stock &amp; W Capital'!J8</f>
        <v>1153960.3162615502</v>
      </c>
      <c r="J174" s="78">
        <f>'5.Closing Stock &amp; W Capital'!K8</f>
        <v>1211658.3320746277</v>
      </c>
    </row>
    <row r="175" spans="1:10" ht="15.75" customHeight="1">
      <c r="A175" s="78" t="s">
        <v>593</v>
      </c>
      <c r="B175" s="78"/>
      <c r="C175" s="78"/>
      <c r="D175" s="78">
        <f>'5.Closing Stock &amp; W Capital'!E17</f>
        <v>949366.00800000003</v>
      </c>
      <c r="E175" s="78">
        <f>'5.Closing Stock &amp; W Capital'!F17</f>
        <v>996834.3084000001</v>
      </c>
      <c r="F175" s="78">
        <f>'5.Closing Stock &amp; W Capital'!G17</f>
        <v>1046676.02382</v>
      </c>
      <c r="G175" s="78">
        <f>'5.Closing Stock &amp; W Capital'!H17</f>
        <v>1099009.8250110003</v>
      </c>
      <c r="H175" s="78">
        <f>'5.Closing Stock &amp; W Capital'!I17</f>
        <v>1153960.3162615502</v>
      </c>
      <c r="I175" s="78">
        <f>'5.Closing Stock &amp; W Capital'!J17</f>
        <v>1211658.3320746277</v>
      </c>
      <c r="J175" s="78">
        <f>'5.Closing Stock &amp; W Capital'!K17</f>
        <v>1272241.2486783592</v>
      </c>
    </row>
    <row r="176" spans="1:10" ht="15.75" customHeight="1">
      <c r="A176" s="78"/>
      <c r="B176" s="78"/>
      <c r="C176" s="78"/>
      <c r="D176" s="78"/>
      <c r="E176" s="78"/>
      <c r="F176" s="78"/>
      <c r="G176" s="78"/>
      <c r="H176" s="78"/>
      <c r="I176" s="78"/>
      <c r="J176" s="78"/>
    </row>
    <row r="177" spans="1:10" ht="15.75" customHeight="1">
      <c r="A177" s="80" t="s">
        <v>356</v>
      </c>
      <c r="B177" s="78"/>
      <c r="C177" s="78"/>
      <c r="D177" s="80">
        <f t="shared" ref="D177:J177" si="35">SUM(D163:D174)-D175</f>
        <v>-949366.00800000003</v>
      </c>
      <c r="E177" s="80">
        <f t="shared" si="35"/>
        <v>-47468.300400000066</v>
      </c>
      <c r="F177" s="80">
        <f t="shared" si="35"/>
        <v>-49841.715419999906</v>
      </c>
      <c r="G177" s="80">
        <f t="shared" si="35"/>
        <v>-52333.801191000268</v>
      </c>
      <c r="H177" s="80">
        <f t="shared" si="35"/>
        <v>-54950.491250549909</v>
      </c>
      <c r="I177" s="80">
        <f t="shared" si="35"/>
        <v>-57698.015813077567</v>
      </c>
      <c r="J177" s="80">
        <f t="shared" si="35"/>
        <v>-60582.916603731457</v>
      </c>
    </row>
    <row r="178" spans="1:10" ht="15.75" customHeight="1">
      <c r="A178" s="71"/>
      <c r="B178" s="71"/>
      <c r="C178" s="71"/>
      <c r="D178" s="71"/>
      <c r="E178" s="71"/>
      <c r="F178" s="71"/>
      <c r="G178" s="71"/>
      <c r="H178" s="71"/>
      <c r="I178" s="71"/>
      <c r="J178" s="71"/>
    </row>
    <row r="179" spans="1:10" ht="15.75" customHeight="1">
      <c r="A179" s="191" t="s">
        <v>357</v>
      </c>
      <c r="B179" s="191"/>
      <c r="C179" s="191"/>
      <c r="D179" s="80"/>
      <c r="E179" s="80"/>
      <c r="F179" s="80"/>
      <c r="G179" s="80"/>
      <c r="H179" s="80"/>
      <c r="I179" s="80"/>
      <c r="J179" s="80"/>
    </row>
    <row r="180" spans="1:10" ht="15.75" customHeight="1">
      <c r="A180" s="76" t="s">
        <v>594</v>
      </c>
      <c r="B180" s="50">
        <v>1</v>
      </c>
      <c r="C180" s="77"/>
      <c r="D180" s="78">
        <f t="shared" ref="D180:J180" si="36">$B$180*$C$180*12*D149</f>
        <v>0</v>
      </c>
      <c r="E180" s="78">
        <f t="shared" si="36"/>
        <v>0</v>
      </c>
      <c r="F180" s="78">
        <f t="shared" si="36"/>
        <v>0</v>
      </c>
      <c r="G180" s="78">
        <f t="shared" si="36"/>
        <v>0</v>
      </c>
      <c r="H180" s="78">
        <f t="shared" si="36"/>
        <v>0</v>
      </c>
      <c r="I180" s="78">
        <f t="shared" si="36"/>
        <v>0</v>
      </c>
      <c r="J180" s="78">
        <f t="shared" si="36"/>
        <v>0</v>
      </c>
    </row>
    <row r="181" spans="1:10" ht="15.75" customHeight="1">
      <c r="A181" s="76" t="s">
        <v>682</v>
      </c>
      <c r="B181" s="50">
        <v>2</v>
      </c>
      <c r="C181" s="77"/>
      <c r="D181" s="78">
        <f t="shared" ref="D181:J181" si="37">$B$181*$C$181*12*D149</f>
        <v>0</v>
      </c>
      <c r="E181" s="78">
        <f t="shared" si="37"/>
        <v>0</v>
      </c>
      <c r="F181" s="78">
        <f t="shared" si="37"/>
        <v>0</v>
      </c>
      <c r="G181" s="78">
        <f t="shared" si="37"/>
        <v>0</v>
      </c>
      <c r="H181" s="78">
        <f t="shared" si="37"/>
        <v>0</v>
      </c>
      <c r="I181" s="78">
        <f t="shared" si="37"/>
        <v>0</v>
      </c>
      <c r="J181" s="78">
        <f t="shared" si="37"/>
        <v>0</v>
      </c>
    </row>
    <row r="182" spans="1:10" ht="15.75" customHeight="1">
      <c r="A182" s="76"/>
      <c r="B182" s="50"/>
      <c r="C182" s="77"/>
      <c r="D182" s="78"/>
      <c r="E182" s="78"/>
      <c r="F182" s="78"/>
      <c r="G182" s="78"/>
      <c r="H182" s="78"/>
      <c r="I182" s="78"/>
      <c r="J182" s="78"/>
    </row>
    <row r="183" spans="1:10" ht="15.75" customHeight="1">
      <c r="A183" s="76"/>
      <c r="B183" s="50"/>
      <c r="C183" s="77"/>
      <c r="D183" s="78"/>
      <c r="E183" s="78"/>
      <c r="F183" s="78"/>
      <c r="G183" s="78"/>
      <c r="H183" s="78"/>
      <c r="I183" s="78"/>
      <c r="J183" s="78"/>
    </row>
    <row r="184" spans="1:10" ht="15.75" customHeight="1">
      <c r="A184" s="76"/>
      <c r="B184" s="50"/>
      <c r="C184" s="77"/>
      <c r="D184" s="78"/>
      <c r="E184" s="78"/>
      <c r="F184" s="78"/>
      <c r="G184" s="78"/>
      <c r="H184" s="78"/>
      <c r="I184" s="78"/>
      <c r="J184" s="78"/>
    </row>
    <row r="185" spans="1:10" ht="15.75" customHeight="1">
      <c r="A185" s="79" t="s">
        <v>357</v>
      </c>
      <c r="B185" s="79"/>
      <c r="C185" s="79"/>
      <c r="D185" s="80">
        <f t="shared" ref="D185:J185" si="38">SUM(D180:D184)</f>
        <v>0</v>
      </c>
      <c r="E185" s="80">
        <f t="shared" si="38"/>
        <v>0</v>
      </c>
      <c r="F185" s="80">
        <f t="shared" si="38"/>
        <v>0</v>
      </c>
      <c r="G185" s="80">
        <f t="shared" si="38"/>
        <v>0</v>
      </c>
      <c r="H185" s="80">
        <f t="shared" si="38"/>
        <v>0</v>
      </c>
      <c r="I185" s="80">
        <f t="shared" si="38"/>
        <v>0</v>
      </c>
      <c r="J185" s="80">
        <f t="shared" si="38"/>
        <v>0</v>
      </c>
    </row>
    <row r="186" spans="1:10" ht="15.75" customHeight="1">
      <c r="A186" s="191" t="s">
        <v>617</v>
      </c>
      <c r="B186" s="191"/>
      <c r="C186" s="191"/>
      <c r="D186" s="80">
        <f t="shared" ref="D186:J186" si="39">D177+D185</f>
        <v>-949366.00800000003</v>
      </c>
      <c r="E186" s="80">
        <f t="shared" si="39"/>
        <v>-47468.300400000066</v>
      </c>
      <c r="F186" s="80">
        <f t="shared" si="39"/>
        <v>-49841.715419999906</v>
      </c>
      <c r="G186" s="80">
        <f t="shared" si="39"/>
        <v>-52333.801191000268</v>
      </c>
      <c r="H186" s="80">
        <f t="shared" si="39"/>
        <v>-54950.491250549909</v>
      </c>
      <c r="I186" s="80">
        <f t="shared" si="39"/>
        <v>-57698.015813077567</v>
      </c>
      <c r="J186" s="80">
        <f t="shared" si="39"/>
        <v>-60582.916603731457</v>
      </c>
    </row>
    <row r="187" spans="1:10" ht="15.75" customHeight="1">
      <c r="A187" s="76"/>
      <c r="B187" s="76"/>
      <c r="C187" s="76"/>
      <c r="D187" s="78"/>
      <c r="E187" s="78"/>
      <c r="F187" s="78"/>
      <c r="G187" s="78"/>
      <c r="H187" s="78"/>
      <c r="I187" s="78"/>
      <c r="J187" s="78"/>
    </row>
    <row r="188" spans="1:10" ht="15.75" customHeight="1">
      <c r="A188" s="79" t="s">
        <v>404</v>
      </c>
      <c r="B188" s="79"/>
      <c r="C188" s="79"/>
      <c r="D188" s="80">
        <f t="shared" ref="D188:J188" si="40">D159-D186</f>
        <v>949366.00800000003</v>
      </c>
      <c r="E188" s="80">
        <f t="shared" si="40"/>
        <v>47468.300400000066</v>
      </c>
      <c r="F188" s="80">
        <f t="shared" si="40"/>
        <v>49841.715419999906</v>
      </c>
      <c r="G188" s="80">
        <f t="shared" si="40"/>
        <v>52333.801191000268</v>
      </c>
      <c r="H188" s="80">
        <f t="shared" si="40"/>
        <v>54950.491250549909</v>
      </c>
      <c r="I188" s="80">
        <f t="shared" si="40"/>
        <v>57698.015813077567</v>
      </c>
      <c r="J188" s="80">
        <f t="shared" si="40"/>
        <v>60582.916603731457</v>
      </c>
    </row>
    <row r="189" spans="1:10" ht="15.75" customHeight="1">
      <c r="A189" s="96"/>
      <c r="B189" s="96"/>
      <c r="C189" s="96"/>
      <c r="D189" s="71"/>
      <c r="E189" s="71"/>
      <c r="F189" s="71"/>
      <c r="G189" s="71"/>
      <c r="H189" s="71"/>
      <c r="I189" s="71"/>
      <c r="J189" s="71"/>
    </row>
    <row r="190" spans="1:10" ht="15.75" customHeight="1">
      <c r="A190" s="71"/>
      <c r="B190" s="71"/>
      <c r="C190" s="71"/>
      <c r="D190" s="71"/>
      <c r="E190" s="71"/>
      <c r="F190" s="71"/>
      <c r="G190" s="71"/>
      <c r="H190" s="71"/>
      <c r="I190" s="71"/>
      <c r="J190" s="71"/>
    </row>
    <row r="191" spans="1:10" ht="15.75" customHeight="1">
      <c r="A191" s="71"/>
      <c r="B191" s="71"/>
      <c r="C191" s="71"/>
      <c r="D191" s="71"/>
      <c r="E191" s="71"/>
      <c r="F191" s="71"/>
      <c r="G191" s="71"/>
      <c r="H191" s="71"/>
      <c r="I191" s="71"/>
      <c r="J191" s="71"/>
    </row>
    <row r="192" spans="1:10" ht="15.75" customHeight="1">
      <c r="A192" s="353" t="s">
        <v>618</v>
      </c>
      <c r="B192" s="335"/>
      <c r="C192" s="335"/>
      <c r="D192" s="335"/>
      <c r="E192" s="335"/>
      <c r="F192" s="335"/>
      <c r="G192" s="335"/>
      <c r="H192" s="335"/>
      <c r="I192" s="335"/>
      <c r="J192" s="335"/>
    </row>
    <row r="193" spans="1:5" ht="15.75" customHeight="1"/>
    <row r="194" spans="1:5" ht="15.75" customHeight="1">
      <c r="A194" t="s">
        <v>313</v>
      </c>
    </row>
    <row r="195" spans="1:5" ht="15.75" customHeight="1">
      <c r="A195">
        <v>1</v>
      </c>
      <c r="B195" t="s">
        <v>599</v>
      </c>
    </row>
    <row r="196" spans="1:5" ht="15.75" customHeight="1">
      <c r="A196">
        <v>2</v>
      </c>
      <c r="B196" t="s">
        <v>600</v>
      </c>
      <c r="C196" s="158"/>
      <c r="D196" s="158"/>
      <c r="E196" s="158"/>
    </row>
    <row r="197" spans="1:5" ht="15.75" customHeight="1">
      <c r="A197">
        <v>3</v>
      </c>
      <c r="B197" s="71" t="s">
        <v>601</v>
      </c>
    </row>
  </sheetData>
  <mergeCells count="4">
    <mergeCell ref="A3:H3"/>
    <mergeCell ref="A147:J147"/>
    <mergeCell ref="A192:J192"/>
    <mergeCell ref="A4:H4"/>
  </mergeCells>
  <pageMargins left="0.7" right="0.7" top="0.75" bottom="0.75" header="0" footer="0"/>
  <pageSetup paperSize="9" orientation="portrait" r:id="rId1"/>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0"/>
  <sheetViews>
    <sheetView workbookViewId="0">
      <selection activeCell="B1" sqref="B1"/>
    </sheetView>
  </sheetViews>
  <sheetFormatPr defaultColWidth="14.44140625" defaultRowHeight="15" customHeight="1"/>
  <cols>
    <col min="1" max="1" width="8.6640625" customWidth="1"/>
    <col min="2" max="2" width="7.5546875" customWidth="1"/>
    <col min="3" max="3" width="26.33203125" customWidth="1"/>
    <col min="4" max="4" width="15" customWidth="1"/>
    <col min="5" max="5" width="16" customWidth="1"/>
    <col min="6" max="6" width="17.88671875" customWidth="1"/>
    <col min="7" max="8" width="8.6640625" customWidth="1"/>
    <col min="9" max="9" width="10.5546875" bestFit="1" customWidth="1"/>
    <col min="10" max="13" width="8.6640625" customWidth="1"/>
  </cols>
  <sheetData>
    <row r="2" spans="1:13" ht="17.399999999999999">
      <c r="B2" s="351" t="s">
        <v>80</v>
      </c>
      <c r="C2" s="335"/>
      <c r="D2" s="335"/>
      <c r="E2" s="335"/>
      <c r="F2" s="335"/>
    </row>
    <row r="4" spans="1:13" ht="14.4">
      <c r="B4" s="11" t="s">
        <v>81</v>
      </c>
      <c r="C4" s="11" t="s">
        <v>82</v>
      </c>
      <c r="D4" s="11" t="s">
        <v>83</v>
      </c>
      <c r="E4" s="12" t="s">
        <v>84</v>
      </c>
      <c r="F4" s="12" t="s">
        <v>85</v>
      </c>
    </row>
    <row r="5" spans="1:13" ht="14.4">
      <c r="B5" s="13">
        <v>1</v>
      </c>
      <c r="C5" s="14" t="str">
        <f>'2.Capex Details'!B2</f>
        <v>Land and Building</v>
      </c>
      <c r="D5" s="15">
        <f>'2.Capex Details'!G12</f>
        <v>1948800</v>
      </c>
      <c r="E5" s="16">
        <v>0.6</v>
      </c>
      <c r="F5" s="17">
        <f t="shared" ref="F5:F10" si="0">D5*E5</f>
        <v>1169280</v>
      </c>
    </row>
    <row r="6" spans="1:13" ht="14.4">
      <c r="B6" s="13">
        <v>2</v>
      </c>
      <c r="C6" s="14" t="str">
        <f>'2.Capex Details'!B17</f>
        <v>Machinery and Equipment</v>
      </c>
      <c r="D6" s="15">
        <f>'2.Capex Details'!G62</f>
        <v>5841000</v>
      </c>
      <c r="E6" s="16">
        <v>0.6</v>
      </c>
      <c r="F6" s="17">
        <f t="shared" si="0"/>
        <v>3504600</v>
      </c>
    </row>
    <row r="7" spans="1:13" ht="14.4">
      <c r="B7" s="13">
        <v>3</v>
      </c>
      <c r="C7" s="14" t="str">
        <f>'2.Capex Details'!B68</f>
        <v>Furniture and Fixture</v>
      </c>
      <c r="D7" s="15">
        <f>'2.Capex Details'!F74</f>
        <v>64500</v>
      </c>
      <c r="E7" s="16">
        <v>0.6</v>
      </c>
      <c r="F7" s="17">
        <f t="shared" si="0"/>
        <v>38700</v>
      </c>
    </row>
    <row r="8" spans="1:13" ht="14.4">
      <c r="B8" s="13">
        <v>4</v>
      </c>
      <c r="C8" s="14" t="str">
        <f>'2.Capex Details'!B79</f>
        <v>IT &amp; It Infrastracture</v>
      </c>
      <c r="D8" s="15">
        <f>'2.Capex Details'!F85</f>
        <v>111000</v>
      </c>
      <c r="E8" s="16">
        <v>0.6</v>
      </c>
      <c r="F8" s="17">
        <f t="shared" si="0"/>
        <v>66600</v>
      </c>
    </row>
    <row r="9" spans="1:13" ht="26.4">
      <c r="B9" s="13">
        <v>5</v>
      </c>
      <c r="C9" s="14" t="str">
        <f>'2.Capex Details'!B90</f>
        <v>Transport vehical  (Refer van and other)</v>
      </c>
      <c r="D9" s="15">
        <f>'2.Capex Details'!F96</f>
        <v>0</v>
      </c>
      <c r="E9" s="16">
        <v>0.6</v>
      </c>
      <c r="F9" s="17">
        <f t="shared" si="0"/>
        <v>0</v>
      </c>
    </row>
    <row r="10" spans="1:13" ht="26.4">
      <c r="B10" s="13">
        <v>6</v>
      </c>
      <c r="C10" s="14" t="str">
        <f>'2.Capex Details'!B100</f>
        <v>Preliminary Expenses &amp; Preoperative Expences</v>
      </c>
      <c r="D10" s="15">
        <f>'2.Capex Details'!D110</f>
        <v>463000</v>
      </c>
      <c r="E10" s="16">
        <v>0.6</v>
      </c>
      <c r="F10" s="17">
        <f t="shared" si="0"/>
        <v>277800</v>
      </c>
      <c r="L10" t="s">
        <v>86</v>
      </c>
    </row>
    <row r="11" spans="1:13" ht="14.4">
      <c r="B11" s="13">
        <v>7</v>
      </c>
      <c r="C11" s="14" t="s">
        <v>87</v>
      </c>
      <c r="D11" s="15">
        <f>'5.Closing Stock &amp; W Capital'!E56</f>
        <v>1028607.0621553971</v>
      </c>
      <c r="E11" s="18"/>
      <c r="F11" s="18"/>
      <c r="I11" s="333">
        <f>SUM(D5:D10)</f>
        <v>8428300</v>
      </c>
    </row>
    <row r="12" spans="1:13" ht="14.4">
      <c r="B12" s="352" t="s">
        <v>88</v>
      </c>
      <c r="C12" s="340"/>
      <c r="D12" s="19">
        <f>SUM(D5:D11)</f>
        <v>9456907.0621553976</v>
      </c>
      <c r="E12" s="18"/>
      <c r="F12" s="19">
        <f>SUM(F5:F11)</f>
        <v>5056980</v>
      </c>
    </row>
    <row r="13" spans="1:13" ht="14.4">
      <c r="D13" s="20"/>
      <c r="M13">
        <v>48</v>
      </c>
    </row>
    <row r="14" spans="1:13" ht="25.5" customHeight="1">
      <c r="A14" s="354" t="s">
        <v>89</v>
      </c>
      <c r="B14" s="335"/>
      <c r="C14" s="335"/>
      <c r="D14" s="335"/>
      <c r="E14" s="335"/>
      <c r="F14" s="335"/>
      <c r="M14">
        <v>11.64</v>
      </c>
    </row>
    <row r="15" spans="1:13" ht="14.4">
      <c r="M15">
        <f>M13+M14</f>
        <v>59.64</v>
      </c>
    </row>
    <row r="16" spans="1:13" ht="17.399999999999999">
      <c r="B16" s="351" t="s">
        <v>90</v>
      </c>
      <c r="C16" s="335"/>
      <c r="D16" s="335"/>
      <c r="E16" s="335"/>
      <c r="F16" s="335"/>
      <c r="M16">
        <v>19.05</v>
      </c>
    </row>
    <row r="17" spans="2:13" ht="14.4">
      <c r="M17">
        <f>M15+M16</f>
        <v>78.69</v>
      </c>
    </row>
    <row r="18" spans="2:13" ht="14.4">
      <c r="B18" s="21" t="s">
        <v>81</v>
      </c>
      <c r="C18" s="11" t="s">
        <v>82</v>
      </c>
      <c r="D18" s="11" t="s">
        <v>91</v>
      </c>
      <c r="E18" s="11" t="s">
        <v>83</v>
      </c>
    </row>
    <row r="19" spans="2:13" ht="26.4">
      <c r="B19" s="13">
        <v>1</v>
      </c>
      <c r="C19" s="14" t="s">
        <v>92</v>
      </c>
      <c r="D19" s="22"/>
      <c r="E19" s="23">
        <f>F12</f>
        <v>5056980</v>
      </c>
    </row>
    <row r="20" spans="2:13" ht="14.4">
      <c r="B20" s="13">
        <v>2</v>
      </c>
      <c r="C20" s="14" t="s">
        <v>93</v>
      </c>
      <c r="D20" s="24">
        <v>0.4</v>
      </c>
      <c r="E20" s="23">
        <f>SUM(D5:D9)*D20</f>
        <v>3186120</v>
      </c>
    </row>
    <row r="21" spans="2:13" ht="15.75" customHeight="1">
      <c r="B21" s="13">
        <v>3</v>
      </c>
      <c r="C21" s="14" t="s">
        <v>94</v>
      </c>
      <c r="D21" s="23"/>
      <c r="E21" s="23">
        <f>D12-E19-E20</f>
        <v>1213807.0621553976</v>
      </c>
    </row>
    <row r="22" spans="2:13" ht="15.75" customHeight="1">
      <c r="B22" s="352" t="s">
        <v>88</v>
      </c>
      <c r="C22" s="340"/>
      <c r="D22" s="25"/>
      <c r="E22" s="25">
        <f>SUM(E19:E21)</f>
        <v>9456907.0621553976</v>
      </c>
    </row>
    <row r="23" spans="2:13" ht="15.75" customHeight="1"/>
    <row r="24" spans="2:13" ht="15.75" customHeight="1">
      <c r="B24" s="353" t="s">
        <v>95</v>
      </c>
      <c r="C24" s="335"/>
      <c r="D24" s="335"/>
      <c r="E24" s="335"/>
      <c r="F24" s="335"/>
    </row>
    <row r="25" spans="2:13" ht="15.75" customHeight="1"/>
    <row r="26" spans="2:13" ht="15.75" customHeight="1">
      <c r="B26" s="351" t="s">
        <v>96</v>
      </c>
      <c r="C26" s="335"/>
      <c r="D26" s="335"/>
      <c r="E26" s="335"/>
      <c r="F26" s="335"/>
    </row>
    <row r="27" spans="2:13" ht="15.75" customHeight="1">
      <c r="B27" s="27" t="s">
        <v>81</v>
      </c>
      <c r="C27" s="28" t="s">
        <v>97</v>
      </c>
      <c r="D27" s="29" t="s">
        <v>98</v>
      </c>
      <c r="E27" s="30" t="s">
        <v>99</v>
      </c>
      <c r="F27" s="349" t="s">
        <v>100</v>
      </c>
      <c r="G27" s="350"/>
    </row>
    <row r="28" spans="2:13" ht="26.4">
      <c r="B28" s="31">
        <v>1</v>
      </c>
      <c r="C28" s="14" t="s">
        <v>101</v>
      </c>
      <c r="D28" s="32">
        <f>'9. Financial indiacators'!C49</f>
        <v>0.40442139472999195</v>
      </c>
      <c r="E28" s="31" t="s">
        <v>102</v>
      </c>
      <c r="F28" s="33" t="s">
        <v>103</v>
      </c>
      <c r="G28" s="31" t="s">
        <v>104</v>
      </c>
    </row>
    <row r="29" spans="2:13" ht="39.6">
      <c r="B29" s="31">
        <v>2</v>
      </c>
      <c r="C29" s="14" t="s">
        <v>105</v>
      </c>
      <c r="D29" s="32">
        <f>'9. Financial indiacators'!C85</f>
        <v>0.20155759379499513</v>
      </c>
      <c r="E29" s="31" t="s">
        <v>102</v>
      </c>
      <c r="F29" s="33" t="s">
        <v>106</v>
      </c>
      <c r="G29" s="31" t="s">
        <v>107</v>
      </c>
    </row>
    <row r="30" spans="2:13" ht="39.6">
      <c r="B30" s="31">
        <v>3</v>
      </c>
      <c r="C30" s="14" t="s">
        <v>108</v>
      </c>
      <c r="D30" s="32">
        <f>'9. Financial indiacators'!C16</f>
        <v>0.16422994433868898</v>
      </c>
      <c r="E30" s="31" t="s">
        <v>102</v>
      </c>
      <c r="F30" s="33" t="s">
        <v>109</v>
      </c>
      <c r="G30" s="31" t="s">
        <v>110</v>
      </c>
    </row>
    <row r="31" spans="2:13" ht="66">
      <c r="B31" s="31">
        <v>4</v>
      </c>
      <c r="C31" s="14" t="s">
        <v>111</v>
      </c>
      <c r="D31" s="34">
        <f>'9. Financial indiacators'!C73</f>
        <v>2170591.4227328766</v>
      </c>
      <c r="E31" s="31" t="s">
        <v>112</v>
      </c>
      <c r="F31" s="33" t="s">
        <v>113</v>
      </c>
      <c r="G31" s="31" t="s">
        <v>114</v>
      </c>
    </row>
    <row r="32" spans="2:13" ht="49.5" customHeight="1">
      <c r="B32" s="31">
        <v>5</v>
      </c>
      <c r="C32" s="14" t="s">
        <v>115</v>
      </c>
      <c r="D32" s="35">
        <f>'9. Financial indiacators'!D101</f>
        <v>4.1671484790181434</v>
      </c>
      <c r="E32" s="31" t="s">
        <v>102</v>
      </c>
      <c r="F32" s="33" t="s">
        <v>116</v>
      </c>
      <c r="G32" s="31" t="s">
        <v>117</v>
      </c>
    </row>
    <row r="33" spans="2:7" ht="39.6">
      <c r="B33" s="31">
        <v>6</v>
      </c>
      <c r="C33" s="36" t="s">
        <v>118</v>
      </c>
      <c r="D33" s="35">
        <f>'9. Financial indiacators'!C119</f>
        <v>6.6969094172432628</v>
      </c>
      <c r="E33" s="37" t="s">
        <v>102</v>
      </c>
      <c r="F33" s="33" t="s">
        <v>119</v>
      </c>
      <c r="G33" s="36" t="s">
        <v>120</v>
      </c>
    </row>
    <row r="34" spans="2:7" ht="15.75" customHeight="1"/>
    <row r="35" spans="2:7" ht="15.75" customHeight="1"/>
    <row r="36" spans="2:7" ht="15.75" customHeight="1"/>
    <row r="37" spans="2:7" ht="15.75" customHeight="1"/>
    <row r="38" spans="2:7" ht="15.75" customHeight="1"/>
    <row r="39" spans="2:7" ht="15.75" customHeight="1"/>
    <row r="40" spans="2:7" ht="15.75" customHeight="1"/>
    <row r="41" spans="2:7" ht="15.75" customHeight="1"/>
    <row r="42" spans="2:7" ht="15.7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 footer="0"/>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2"/>
  <sheetViews>
    <sheetView tabSelected="1" topLeftCell="A96" workbookViewId="0">
      <selection activeCell="B110" sqref="B110:C110"/>
    </sheetView>
  </sheetViews>
  <sheetFormatPr defaultColWidth="14.44140625" defaultRowHeight="15" customHeight="1"/>
  <cols>
    <col min="1" max="1" width="8.6640625" customWidth="1"/>
    <col min="2" max="2" width="7.5546875" customWidth="1"/>
    <col min="3" max="3" width="41.5546875" customWidth="1"/>
    <col min="4" max="4" width="13.6640625" bestFit="1" customWidth="1"/>
    <col min="5" max="5" width="17" customWidth="1"/>
    <col min="6" max="6" width="14" customWidth="1"/>
    <col min="7" max="7" width="10.44140625" customWidth="1"/>
    <col min="8" max="8" width="11.5546875" customWidth="1"/>
    <col min="9" max="11" width="8.6640625" customWidth="1"/>
  </cols>
  <sheetData>
    <row r="2" spans="1:7" ht="17.399999999999999">
      <c r="A2">
        <v>2.1</v>
      </c>
      <c r="B2" s="351" t="s">
        <v>121</v>
      </c>
      <c r="C2" s="335"/>
      <c r="D2" s="335"/>
      <c r="E2" s="335"/>
      <c r="F2" s="335"/>
      <c r="G2" s="335"/>
    </row>
    <row r="4" spans="1:7" ht="27.6">
      <c r="B4" s="38" t="s">
        <v>81</v>
      </c>
      <c r="C4" s="38" t="s">
        <v>82</v>
      </c>
      <c r="D4" s="38" t="s">
        <v>122</v>
      </c>
      <c r="E4" s="38" t="s">
        <v>123</v>
      </c>
      <c r="F4" s="38" t="s">
        <v>124</v>
      </c>
      <c r="G4" s="38" t="s">
        <v>83</v>
      </c>
    </row>
    <row r="5" spans="1:7" ht="14.4">
      <c r="B5" s="39">
        <v>1</v>
      </c>
      <c r="C5" s="39" t="s">
        <v>125</v>
      </c>
      <c r="D5" s="39" t="s">
        <v>126</v>
      </c>
      <c r="E5" s="40"/>
      <c r="F5" s="41"/>
      <c r="G5" s="42" t="s">
        <v>127</v>
      </c>
    </row>
    <row r="6" spans="1:7" ht="14.4">
      <c r="B6" s="39">
        <v>2</v>
      </c>
      <c r="C6" s="289" t="s">
        <v>700</v>
      </c>
      <c r="D6" s="290">
        <f>48*25</f>
        <v>1200</v>
      </c>
      <c r="E6" s="291">
        <v>1</v>
      </c>
      <c r="F6" s="292">
        <v>840</v>
      </c>
      <c r="G6" s="293">
        <f>D6*F6</f>
        <v>1008000</v>
      </c>
    </row>
    <row r="7" spans="1:7" ht="14.4">
      <c r="B7" s="39">
        <v>3</v>
      </c>
      <c r="C7" s="289" t="s">
        <v>701</v>
      </c>
      <c r="D7" s="290">
        <f>35*20</f>
        <v>700</v>
      </c>
      <c r="E7" s="291">
        <v>1</v>
      </c>
      <c r="F7" s="292">
        <v>840</v>
      </c>
      <c r="G7" s="293">
        <f>D7*F7</f>
        <v>588000</v>
      </c>
    </row>
    <row r="8" spans="1:7" ht="14.4">
      <c r="B8" s="39">
        <v>4</v>
      </c>
      <c r="C8" s="289" t="s">
        <v>702</v>
      </c>
      <c r="D8" s="290">
        <f>35*12</f>
        <v>420</v>
      </c>
      <c r="E8" s="291">
        <v>1</v>
      </c>
      <c r="F8" s="292">
        <v>840</v>
      </c>
      <c r="G8" s="293">
        <f>D8*F8</f>
        <v>352800</v>
      </c>
    </row>
    <row r="9" spans="1:7" ht="14.4">
      <c r="B9" s="39"/>
      <c r="C9" s="39"/>
      <c r="D9" s="43"/>
      <c r="E9" s="44"/>
      <c r="F9" s="45"/>
      <c r="G9" s="46">
        <f t="shared" ref="G9:G11" si="0">E9*F9</f>
        <v>0</v>
      </c>
    </row>
    <row r="10" spans="1:7" ht="14.4">
      <c r="B10" s="39"/>
      <c r="C10" s="39"/>
      <c r="D10" s="43"/>
      <c r="E10" s="44"/>
      <c r="F10" s="45"/>
      <c r="G10" s="46">
        <f t="shared" si="0"/>
        <v>0</v>
      </c>
    </row>
    <row r="11" spans="1:7" ht="14.4">
      <c r="B11" s="39"/>
      <c r="C11" s="39"/>
      <c r="D11" s="43"/>
      <c r="E11" s="44"/>
      <c r="F11" s="45"/>
      <c r="G11" s="46">
        <f t="shared" si="0"/>
        <v>0</v>
      </c>
    </row>
    <row r="12" spans="1:7" ht="14.4">
      <c r="B12" s="355" t="s">
        <v>88</v>
      </c>
      <c r="C12" s="339"/>
      <c r="D12" s="339"/>
      <c r="E12" s="339"/>
      <c r="F12" s="340"/>
      <c r="G12" s="47">
        <f>SUM(G6:G11)</f>
        <v>1948800</v>
      </c>
    </row>
    <row r="15" spans="1:7" ht="14.4">
      <c r="B15" s="353" t="s">
        <v>128</v>
      </c>
      <c r="C15" s="335"/>
      <c r="D15" s="335"/>
      <c r="E15" s="335"/>
      <c r="F15" s="335"/>
      <c r="G15" s="335"/>
    </row>
    <row r="17" spans="1:8" ht="17.399999999999999">
      <c r="A17">
        <v>2.2000000000000002</v>
      </c>
      <c r="B17" s="351" t="s">
        <v>129</v>
      </c>
      <c r="C17" s="335"/>
      <c r="D17" s="335"/>
      <c r="E17" s="335"/>
      <c r="F17" s="335"/>
      <c r="G17" s="335"/>
      <c r="H17" s="335"/>
    </row>
    <row r="18" spans="1:8" ht="14.4">
      <c r="B18" s="48"/>
    </row>
    <row r="19" spans="1:8" ht="27.6">
      <c r="B19" s="38" t="s">
        <v>81</v>
      </c>
      <c r="C19" s="38" t="s">
        <v>10</v>
      </c>
      <c r="D19" s="38" t="s">
        <v>130</v>
      </c>
      <c r="E19" s="38" t="s">
        <v>131</v>
      </c>
      <c r="F19" s="38" t="s">
        <v>132</v>
      </c>
      <c r="G19" s="38" t="s">
        <v>83</v>
      </c>
      <c r="H19" s="38" t="s">
        <v>133</v>
      </c>
    </row>
    <row r="20" spans="1:8" ht="14.4">
      <c r="B20" s="49"/>
      <c r="C20" s="50"/>
      <c r="D20" s="50"/>
      <c r="E20" s="50"/>
      <c r="F20" s="50"/>
      <c r="G20" s="51"/>
      <c r="H20" s="50"/>
    </row>
    <row r="21" spans="1:8" ht="27.6">
      <c r="B21" s="52" t="s">
        <v>19</v>
      </c>
      <c r="C21" s="331" t="s">
        <v>775</v>
      </c>
      <c r="D21" s="53"/>
      <c r="E21" s="52"/>
      <c r="F21" s="54"/>
      <c r="G21" s="51">
        <f t="shared" ref="G21" si="1">E21*F21</f>
        <v>0</v>
      </c>
      <c r="H21" s="55"/>
    </row>
    <row r="22" spans="1:8" ht="15.75" customHeight="1">
      <c r="B22" s="356" t="s">
        <v>135</v>
      </c>
      <c r="C22" s="357"/>
      <c r="D22" s="52"/>
      <c r="E22" s="52"/>
      <c r="F22" s="57"/>
      <c r="G22" s="51">
        <f>SUM(G21:G21)</f>
        <v>0</v>
      </c>
      <c r="H22" s="51">
        <f>SUM(H21:H21)</f>
        <v>0</v>
      </c>
    </row>
    <row r="23" spans="1:8" ht="15.75" customHeight="1">
      <c r="B23" s="52" t="s">
        <v>61</v>
      </c>
      <c r="C23" s="294" t="s">
        <v>703</v>
      </c>
      <c r="D23" s="294"/>
      <c r="E23" s="295"/>
      <c r="F23" s="296"/>
      <c r="G23" s="297">
        <f t="shared" ref="G23:G33" si="2">E23*F23</f>
        <v>0</v>
      </c>
      <c r="H23" s="50"/>
    </row>
    <row r="24" spans="1:8" ht="15.75" customHeight="1">
      <c r="B24" s="49">
        <v>1</v>
      </c>
      <c r="C24" s="294" t="s">
        <v>704</v>
      </c>
      <c r="D24" s="298" t="s">
        <v>705</v>
      </c>
      <c r="E24" s="299">
        <v>1</v>
      </c>
      <c r="F24" s="300">
        <v>155000</v>
      </c>
      <c r="G24" s="297">
        <f t="shared" si="2"/>
        <v>155000</v>
      </c>
      <c r="H24" s="50">
        <v>2</v>
      </c>
    </row>
    <row r="25" spans="1:8" ht="15.75" customHeight="1">
      <c r="B25" s="49">
        <v>2</v>
      </c>
      <c r="C25" s="294" t="s">
        <v>706</v>
      </c>
      <c r="D25" s="298" t="s">
        <v>705</v>
      </c>
      <c r="E25" s="299">
        <v>1</v>
      </c>
      <c r="F25" s="300">
        <v>150000</v>
      </c>
      <c r="G25" s="297">
        <f t="shared" si="2"/>
        <v>150000</v>
      </c>
      <c r="H25" s="50">
        <v>3</v>
      </c>
    </row>
    <row r="26" spans="1:8" ht="15.75" customHeight="1">
      <c r="B26" s="49">
        <v>3</v>
      </c>
      <c r="C26" s="294" t="s">
        <v>707</v>
      </c>
      <c r="D26" s="298" t="s">
        <v>705</v>
      </c>
      <c r="E26" s="299">
        <v>1</v>
      </c>
      <c r="F26" s="300">
        <v>370000</v>
      </c>
      <c r="G26" s="297">
        <f t="shared" si="2"/>
        <v>370000</v>
      </c>
      <c r="H26" s="50">
        <v>3</v>
      </c>
    </row>
    <row r="27" spans="1:8" ht="15.75" customHeight="1">
      <c r="B27" s="49">
        <v>4</v>
      </c>
      <c r="C27" s="294" t="s">
        <v>708</v>
      </c>
      <c r="D27" s="298" t="s">
        <v>709</v>
      </c>
      <c r="E27" s="299">
        <v>1</v>
      </c>
      <c r="F27" s="300">
        <v>300000</v>
      </c>
      <c r="G27" s="297">
        <f t="shared" si="2"/>
        <v>300000</v>
      </c>
      <c r="H27" s="50">
        <v>5</v>
      </c>
    </row>
    <row r="28" spans="1:8" ht="15.75" customHeight="1">
      <c r="B28" s="49">
        <v>5</v>
      </c>
      <c r="C28" s="294" t="s">
        <v>710</v>
      </c>
      <c r="D28" s="298" t="s">
        <v>711</v>
      </c>
      <c r="E28" s="299">
        <v>1</v>
      </c>
      <c r="F28" s="300">
        <v>250000</v>
      </c>
      <c r="G28" s="297">
        <f t="shared" si="2"/>
        <v>250000</v>
      </c>
      <c r="H28" s="50">
        <v>2</v>
      </c>
    </row>
    <row r="29" spans="1:8" ht="27.6">
      <c r="B29" s="49">
        <v>6</v>
      </c>
      <c r="C29" s="294" t="s">
        <v>712</v>
      </c>
      <c r="D29" s="298" t="s">
        <v>713</v>
      </c>
      <c r="E29" s="299">
        <v>1</v>
      </c>
      <c r="F29" s="300">
        <v>350000</v>
      </c>
      <c r="G29" s="297">
        <f t="shared" si="2"/>
        <v>350000</v>
      </c>
      <c r="H29" s="50">
        <v>0</v>
      </c>
    </row>
    <row r="30" spans="1:8" ht="15.75" customHeight="1">
      <c r="B30" s="49">
        <v>7</v>
      </c>
      <c r="C30" s="294" t="s">
        <v>714</v>
      </c>
      <c r="D30" s="298" t="s">
        <v>715</v>
      </c>
      <c r="E30" s="299">
        <v>1</v>
      </c>
      <c r="F30" s="300">
        <v>200000</v>
      </c>
      <c r="G30" s="297">
        <f t="shared" si="2"/>
        <v>200000</v>
      </c>
      <c r="H30" s="50">
        <v>0</v>
      </c>
    </row>
    <row r="31" spans="1:8" ht="27.6">
      <c r="B31" s="49">
        <v>8</v>
      </c>
      <c r="C31" s="294" t="s">
        <v>716</v>
      </c>
      <c r="D31" s="299" t="s">
        <v>717</v>
      </c>
      <c r="E31" s="299">
        <v>3</v>
      </c>
      <c r="F31" s="300">
        <v>50000</v>
      </c>
      <c r="G31" s="297">
        <f t="shared" si="2"/>
        <v>150000</v>
      </c>
      <c r="H31" s="50">
        <v>1.5</v>
      </c>
    </row>
    <row r="32" spans="1:8" ht="15.75" customHeight="1">
      <c r="B32" s="49">
        <v>9</v>
      </c>
      <c r="C32" s="294" t="s">
        <v>718</v>
      </c>
      <c r="D32" s="299" t="s">
        <v>719</v>
      </c>
      <c r="E32" s="299">
        <v>10</v>
      </c>
      <c r="F32" s="300">
        <v>7500</v>
      </c>
      <c r="G32" s="297">
        <f t="shared" si="2"/>
        <v>75000</v>
      </c>
      <c r="H32" s="50">
        <v>0</v>
      </c>
    </row>
    <row r="33" spans="2:8" ht="15.75" customHeight="1">
      <c r="B33" s="49">
        <v>10</v>
      </c>
      <c r="C33" s="294" t="s">
        <v>745</v>
      </c>
      <c r="D33" s="299" t="s">
        <v>746</v>
      </c>
      <c r="E33" s="299">
        <v>1</v>
      </c>
      <c r="F33" s="300">
        <v>200000</v>
      </c>
      <c r="G33" s="297">
        <f t="shared" si="2"/>
        <v>200000</v>
      </c>
      <c r="H33" s="50">
        <v>5</v>
      </c>
    </row>
    <row r="34" spans="2:8" ht="27.6">
      <c r="B34" s="49">
        <v>11</v>
      </c>
      <c r="C34" s="294" t="s">
        <v>720</v>
      </c>
      <c r="D34" s="299" t="s">
        <v>721</v>
      </c>
      <c r="E34" s="299">
        <v>1</v>
      </c>
      <c r="F34" s="300">
        <v>200000</v>
      </c>
      <c r="G34" s="297">
        <f>E34*F34</f>
        <v>200000</v>
      </c>
      <c r="H34" s="50">
        <v>3</v>
      </c>
    </row>
    <row r="35" spans="2:8" ht="15.75" customHeight="1">
      <c r="B35" s="49">
        <v>12</v>
      </c>
      <c r="C35" s="294" t="s">
        <v>722</v>
      </c>
      <c r="D35" s="299" t="s">
        <v>723</v>
      </c>
      <c r="E35" s="299" t="s">
        <v>723</v>
      </c>
      <c r="F35" s="300" t="s">
        <v>723</v>
      </c>
      <c r="G35" s="301">
        <f>SUM(G24:G34)*18%</f>
        <v>432000</v>
      </c>
      <c r="H35" s="50"/>
    </row>
    <row r="36" spans="2:8" ht="15.75" customHeight="1">
      <c r="B36" s="49"/>
      <c r="C36" s="43"/>
      <c r="D36" s="49"/>
      <c r="E36" s="49"/>
      <c r="F36" s="51"/>
      <c r="G36" s="51">
        <f t="shared" ref="G36:G37" si="3">F36</f>
        <v>0</v>
      </c>
      <c r="H36" s="50"/>
    </row>
    <row r="37" spans="2:8" ht="15.75" customHeight="1">
      <c r="B37" s="49"/>
      <c r="C37" s="43"/>
      <c r="D37" s="49"/>
      <c r="E37" s="49"/>
      <c r="F37" s="51"/>
      <c r="G37" s="51">
        <f t="shared" si="3"/>
        <v>0</v>
      </c>
      <c r="H37" s="50"/>
    </row>
    <row r="38" spans="2:8" ht="15.75" customHeight="1">
      <c r="B38" s="360" t="s">
        <v>135</v>
      </c>
      <c r="C38" s="361"/>
      <c r="D38" s="52"/>
      <c r="E38" s="52"/>
      <c r="F38" s="57"/>
      <c r="G38" s="57">
        <f t="shared" ref="G38" si="4">SUM(G24:G37)</f>
        <v>2832000</v>
      </c>
      <c r="H38" s="57">
        <f>SUM(H24:H37)</f>
        <v>24.5</v>
      </c>
    </row>
    <row r="39" spans="2:8" ht="15.75" customHeight="1">
      <c r="B39" s="49"/>
      <c r="C39" s="43"/>
      <c r="D39" s="49"/>
      <c r="E39" s="49"/>
      <c r="F39" s="51"/>
      <c r="G39" s="51"/>
      <c r="H39" s="50"/>
    </row>
    <row r="40" spans="2:8" ht="15.75" customHeight="1">
      <c r="B40" s="52" t="s">
        <v>136</v>
      </c>
      <c r="C40" s="294" t="s">
        <v>724</v>
      </c>
      <c r="D40" s="299"/>
      <c r="E40" s="299"/>
      <c r="F40" s="297"/>
      <c r="G40" s="297"/>
      <c r="H40" s="50"/>
    </row>
    <row r="41" spans="2:8" ht="15.75" customHeight="1">
      <c r="B41" s="52">
        <v>1</v>
      </c>
      <c r="C41" s="294" t="s">
        <v>725</v>
      </c>
      <c r="D41" s="298" t="s">
        <v>726</v>
      </c>
      <c r="E41" s="299">
        <v>1</v>
      </c>
      <c r="F41" s="297">
        <v>155000</v>
      </c>
      <c r="G41" s="297">
        <f t="shared" ref="G41:G49" si="5">E41*F41</f>
        <v>155000</v>
      </c>
      <c r="H41" s="50">
        <v>1</v>
      </c>
    </row>
    <row r="42" spans="2:8" ht="15.75" customHeight="1">
      <c r="B42" s="52">
        <v>2</v>
      </c>
      <c r="C42" s="294" t="s">
        <v>727</v>
      </c>
      <c r="D42" s="299" t="s">
        <v>728</v>
      </c>
      <c r="E42" s="299">
        <v>1</v>
      </c>
      <c r="F42" s="297">
        <v>125000</v>
      </c>
      <c r="G42" s="297">
        <f t="shared" si="5"/>
        <v>125000</v>
      </c>
      <c r="H42" s="50">
        <v>2</v>
      </c>
    </row>
    <row r="43" spans="2:8" ht="15.75" customHeight="1">
      <c r="B43" s="52">
        <v>3</v>
      </c>
      <c r="C43" s="294" t="s">
        <v>729</v>
      </c>
      <c r="D43" s="299" t="s">
        <v>730</v>
      </c>
      <c r="E43" s="299">
        <v>5</v>
      </c>
      <c r="F43" s="297">
        <v>40000</v>
      </c>
      <c r="G43" s="297">
        <f t="shared" si="5"/>
        <v>200000</v>
      </c>
      <c r="H43" s="50">
        <v>0</v>
      </c>
    </row>
    <row r="44" spans="2:8" ht="27.6">
      <c r="B44" s="52">
        <v>4</v>
      </c>
      <c r="C44" s="294" t="s">
        <v>731</v>
      </c>
      <c r="D44" s="299" t="s">
        <v>732</v>
      </c>
      <c r="E44" s="299"/>
      <c r="F44" s="297">
        <v>100000</v>
      </c>
      <c r="G44" s="297">
        <f>+F44</f>
        <v>100000</v>
      </c>
      <c r="H44" s="50">
        <v>0</v>
      </c>
    </row>
    <row r="45" spans="2:8" ht="15.75" customHeight="1">
      <c r="B45" s="52">
        <v>5</v>
      </c>
      <c r="C45" s="294" t="s">
        <v>733</v>
      </c>
      <c r="D45" s="299" t="s">
        <v>732</v>
      </c>
      <c r="E45" s="299"/>
      <c r="F45" s="297">
        <v>200000</v>
      </c>
      <c r="G45" s="297">
        <f>+F45</f>
        <v>200000</v>
      </c>
      <c r="H45" s="50">
        <v>0</v>
      </c>
    </row>
    <row r="46" spans="2:8" ht="15.75" customHeight="1">
      <c r="B46" s="52">
        <v>6</v>
      </c>
      <c r="C46" s="294" t="s">
        <v>734</v>
      </c>
      <c r="D46" s="299" t="s">
        <v>759</v>
      </c>
      <c r="E46" s="299">
        <v>5</v>
      </c>
      <c r="F46" s="297">
        <v>20000</v>
      </c>
      <c r="G46" s="297">
        <f t="shared" si="5"/>
        <v>100000</v>
      </c>
      <c r="H46" s="50">
        <v>5</v>
      </c>
    </row>
    <row r="47" spans="2:8" ht="27.6">
      <c r="B47" s="52">
        <v>7</v>
      </c>
      <c r="C47" s="294" t="s">
        <v>735</v>
      </c>
      <c r="D47" s="299" t="s">
        <v>760</v>
      </c>
      <c r="E47" s="299">
        <v>1</v>
      </c>
      <c r="F47" s="297">
        <v>285000</v>
      </c>
      <c r="G47" s="297">
        <f>F47</f>
        <v>285000</v>
      </c>
      <c r="H47" s="50">
        <v>10</v>
      </c>
    </row>
    <row r="48" spans="2:8" ht="27.6">
      <c r="B48" s="52">
        <v>8</v>
      </c>
      <c r="C48" s="294" t="s">
        <v>736</v>
      </c>
      <c r="D48" s="299" t="s">
        <v>737</v>
      </c>
      <c r="E48" s="299"/>
      <c r="F48" s="297">
        <v>200000</v>
      </c>
      <c r="G48" s="297">
        <f>+F48</f>
        <v>200000</v>
      </c>
      <c r="H48" s="50">
        <v>0</v>
      </c>
    </row>
    <row r="49" spans="2:12" ht="15.75" customHeight="1">
      <c r="B49" s="52">
        <v>9</v>
      </c>
      <c r="C49" s="294" t="s">
        <v>738</v>
      </c>
      <c r="D49" s="299" t="s">
        <v>739</v>
      </c>
      <c r="E49" s="299">
        <v>1</v>
      </c>
      <c r="F49" s="297">
        <v>250000</v>
      </c>
      <c r="G49" s="297">
        <f t="shared" si="5"/>
        <v>250000</v>
      </c>
      <c r="H49" s="50">
        <v>4</v>
      </c>
    </row>
    <row r="50" spans="2:12" ht="14.4">
      <c r="B50" s="52">
        <v>10</v>
      </c>
      <c r="C50" s="294" t="s">
        <v>740</v>
      </c>
      <c r="D50" s="299" t="s">
        <v>721</v>
      </c>
      <c r="E50" s="299">
        <v>1</v>
      </c>
      <c r="F50" s="297">
        <v>200000</v>
      </c>
      <c r="G50" s="297">
        <f>F50</f>
        <v>200000</v>
      </c>
      <c r="H50" s="50">
        <v>7.5</v>
      </c>
    </row>
    <row r="51" spans="2:12" ht="27.6">
      <c r="B51" s="52">
        <v>11</v>
      </c>
      <c r="C51" s="294" t="s">
        <v>741</v>
      </c>
      <c r="D51" s="295" t="s">
        <v>742</v>
      </c>
      <c r="E51" s="299">
        <v>1</v>
      </c>
      <c r="F51" s="297">
        <v>355000</v>
      </c>
      <c r="G51" s="297">
        <f>F51</f>
        <v>355000</v>
      </c>
      <c r="H51" s="50">
        <v>0</v>
      </c>
      <c r="L51" s="315">
        <f>+G55+G38</f>
        <v>5841000</v>
      </c>
    </row>
    <row r="52" spans="2:12" ht="27.6">
      <c r="B52" s="52">
        <v>12</v>
      </c>
      <c r="C52" s="294" t="s">
        <v>743</v>
      </c>
      <c r="D52" s="295" t="s">
        <v>744</v>
      </c>
      <c r="E52" s="299">
        <v>1</v>
      </c>
      <c r="F52" s="297">
        <v>380000</v>
      </c>
      <c r="G52" s="297">
        <f>E52*F52</f>
        <v>380000</v>
      </c>
      <c r="H52" s="50">
        <v>0</v>
      </c>
      <c r="L52" s="314">
        <f>+G53+G35</f>
        <v>891000</v>
      </c>
    </row>
    <row r="53" spans="2:12" ht="15.75" customHeight="1">
      <c r="B53" s="52">
        <v>13</v>
      </c>
      <c r="C53" s="294" t="s">
        <v>722</v>
      </c>
      <c r="D53" s="299"/>
      <c r="E53" s="299"/>
      <c r="F53" s="297"/>
      <c r="G53" s="297">
        <f>SUM(G41:G52)*18%</f>
        <v>459000</v>
      </c>
      <c r="H53" s="50"/>
    </row>
    <row r="54" spans="2:12" ht="15.75" customHeight="1">
      <c r="B54" s="56"/>
      <c r="C54" s="302"/>
      <c r="D54" s="303"/>
      <c r="E54" s="303"/>
      <c r="F54" s="304"/>
      <c r="G54" s="304"/>
      <c r="H54" s="50"/>
    </row>
    <row r="55" spans="2:12" ht="15.75" customHeight="1">
      <c r="B55" s="360" t="s">
        <v>135</v>
      </c>
      <c r="C55" s="340"/>
      <c r="D55" s="43"/>
      <c r="E55" s="49"/>
      <c r="F55" s="51"/>
      <c r="G55" s="306">
        <f>SUM(G40:G53)</f>
        <v>3009000</v>
      </c>
      <c r="H55" s="306">
        <f>SUM(H40:H53)</f>
        <v>29.5</v>
      </c>
    </row>
    <row r="56" spans="2:12" ht="15.75" customHeight="1">
      <c r="B56" s="52"/>
      <c r="C56" s="52"/>
      <c r="D56" s="43"/>
      <c r="E56" s="49"/>
      <c r="F56" s="51"/>
      <c r="G56" s="51"/>
      <c r="H56" s="51"/>
    </row>
    <row r="57" spans="2:12" ht="15.75" customHeight="1">
      <c r="B57" s="295" t="s">
        <v>136</v>
      </c>
      <c r="C57" s="294" t="s">
        <v>732</v>
      </c>
      <c r="D57" s="299"/>
      <c r="E57" s="299"/>
      <c r="F57" s="297"/>
      <c r="G57" s="297">
        <f>E57*F57</f>
        <v>0</v>
      </c>
      <c r="H57" s="305"/>
    </row>
    <row r="58" spans="2:12" ht="15.75" customHeight="1">
      <c r="B58" s="358" t="s">
        <v>135</v>
      </c>
      <c r="C58" s="358"/>
      <c r="D58" s="298"/>
      <c r="E58" s="299"/>
      <c r="F58" s="297"/>
      <c r="G58" s="297">
        <f>SUM(G57:G57)</f>
        <v>0</v>
      </c>
      <c r="H58" s="297">
        <f>SUM(H57:H57)</f>
        <v>0</v>
      </c>
    </row>
    <row r="59" spans="2:12" ht="15.75" customHeight="1">
      <c r="B59" s="52" t="s">
        <v>138</v>
      </c>
      <c r="C59" s="332" t="s">
        <v>732</v>
      </c>
      <c r="D59" s="43"/>
      <c r="E59" s="49"/>
      <c r="F59" s="51"/>
      <c r="G59" s="51">
        <f t="shared" ref="G59" si="6">E59*F59</f>
        <v>0</v>
      </c>
      <c r="H59" s="51"/>
    </row>
    <row r="60" spans="2:12" ht="15.75" customHeight="1">
      <c r="B60" s="360" t="s">
        <v>135</v>
      </c>
      <c r="C60" s="340"/>
      <c r="D60" s="43"/>
      <c r="E60" s="49"/>
      <c r="F60" s="51"/>
      <c r="G60" s="51">
        <f>SUM(G59:G59)</f>
        <v>0</v>
      </c>
      <c r="H60" s="51">
        <f>SUM(H59:H59)</f>
        <v>0</v>
      </c>
    </row>
    <row r="61" spans="2:12" ht="15.75" customHeight="1">
      <c r="B61" s="49"/>
      <c r="C61" s="43"/>
      <c r="D61" s="43"/>
      <c r="E61" s="49"/>
      <c r="F61" s="51"/>
      <c r="G61" s="51"/>
      <c r="H61" s="50"/>
    </row>
    <row r="62" spans="2:12" ht="15.75" customHeight="1">
      <c r="B62" s="355" t="s">
        <v>88</v>
      </c>
      <c r="C62" s="339"/>
      <c r="D62" s="339"/>
      <c r="E62" s="339"/>
      <c r="F62" s="340"/>
      <c r="G62" s="47">
        <f>G55+G38+G22+G60</f>
        <v>5841000</v>
      </c>
      <c r="H62" s="47">
        <f>H38+H21+H55+H60</f>
        <v>54</v>
      </c>
    </row>
    <row r="63" spans="2:12" ht="15.75" customHeight="1">
      <c r="B63" s="48"/>
      <c r="G63" s="58"/>
    </row>
    <row r="64" spans="2:12" ht="15.75" customHeight="1">
      <c r="B64" s="353" t="s">
        <v>139</v>
      </c>
      <c r="C64" s="335"/>
      <c r="D64" s="335"/>
      <c r="E64" s="335"/>
      <c r="F64" s="335"/>
      <c r="G64" s="335"/>
      <c r="H64" s="335"/>
    </row>
    <row r="65" spans="1:11" ht="15.75" customHeight="1">
      <c r="B65" s="48"/>
      <c r="G65" s="58"/>
      <c r="I65" s="48"/>
      <c r="J65" s="48"/>
      <c r="K65" s="58"/>
    </row>
    <row r="66" spans="1:11" ht="15.75" customHeight="1"/>
    <row r="67" spans="1:11" ht="15.75" customHeight="1"/>
    <row r="68" spans="1:11" ht="15.75" customHeight="1">
      <c r="A68">
        <v>2.2999999999999998</v>
      </c>
      <c r="B68" s="351" t="s">
        <v>140</v>
      </c>
      <c r="C68" s="335"/>
      <c r="D68" s="335"/>
      <c r="E68" s="335"/>
      <c r="F68" s="335"/>
    </row>
    <row r="69" spans="1:11" ht="15.75" customHeight="1"/>
    <row r="70" spans="1:11" ht="14.4">
      <c r="B70" s="59" t="s">
        <v>81</v>
      </c>
      <c r="C70" s="60" t="s">
        <v>82</v>
      </c>
      <c r="D70" s="60" t="s">
        <v>131</v>
      </c>
      <c r="E70" s="60" t="s">
        <v>132</v>
      </c>
      <c r="F70" s="60" t="s">
        <v>83</v>
      </c>
    </row>
    <row r="71" spans="1:11" ht="15.75" customHeight="1">
      <c r="B71" s="61">
        <v>1</v>
      </c>
      <c r="C71" s="307" t="s">
        <v>747</v>
      </c>
      <c r="D71" s="308">
        <v>3</v>
      </c>
      <c r="E71" s="309">
        <v>8000</v>
      </c>
      <c r="F71" s="310">
        <f t="shared" ref="F71:F73" si="7">D71*E71</f>
        <v>24000</v>
      </c>
    </row>
    <row r="72" spans="1:11" ht="15.75" customHeight="1">
      <c r="B72" s="61">
        <v>2</v>
      </c>
      <c r="C72" s="307" t="s">
        <v>748</v>
      </c>
      <c r="D72" s="308">
        <v>15</v>
      </c>
      <c r="E72" s="309">
        <v>700</v>
      </c>
      <c r="F72" s="310">
        <f t="shared" si="7"/>
        <v>10500</v>
      </c>
    </row>
    <row r="73" spans="1:11" ht="15.75" customHeight="1">
      <c r="B73" s="61">
        <v>3</v>
      </c>
      <c r="C73" s="307" t="s">
        <v>749</v>
      </c>
      <c r="D73" s="308">
        <v>4</v>
      </c>
      <c r="E73" s="309">
        <v>7500</v>
      </c>
      <c r="F73" s="310">
        <f t="shared" si="7"/>
        <v>30000</v>
      </c>
      <c r="I73" s="314"/>
    </row>
    <row r="74" spans="1:11" ht="15.75" customHeight="1">
      <c r="B74" s="359" t="s">
        <v>88</v>
      </c>
      <c r="C74" s="339"/>
      <c r="D74" s="339"/>
      <c r="E74" s="340"/>
      <c r="F74" s="62">
        <f>SUM(F71:F73)</f>
        <v>64500</v>
      </c>
    </row>
    <row r="75" spans="1:11" ht="15.75" customHeight="1"/>
    <row r="76" spans="1:11" ht="15.75" customHeight="1">
      <c r="A76" s="353" t="s">
        <v>141</v>
      </c>
      <c r="B76" s="335"/>
      <c r="C76" s="335"/>
      <c r="D76" s="335"/>
      <c r="E76" s="335"/>
      <c r="F76" s="335"/>
      <c r="G76" s="335"/>
    </row>
    <row r="77" spans="1:11" ht="15.75" customHeight="1"/>
    <row r="78" spans="1:11" ht="15.75" customHeight="1"/>
    <row r="79" spans="1:11" ht="15.75" customHeight="1">
      <c r="A79">
        <v>2.4</v>
      </c>
      <c r="B79" s="351" t="s">
        <v>142</v>
      </c>
      <c r="C79" s="335"/>
      <c r="D79" s="335"/>
      <c r="E79" s="335"/>
      <c r="F79" s="335"/>
    </row>
    <row r="80" spans="1:11" ht="15.75" customHeight="1"/>
    <row r="81" spans="1:7" ht="15.75" customHeight="1">
      <c r="B81" s="59" t="s">
        <v>81</v>
      </c>
      <c r="C81" s="60" t="s">
        <v>82</v>
      </c>
      <c r="D81" s="60" t="s">
        <v>131</v>
      </c>
      <c r="E81" s="60" t="s">
        <v>132</v>
      </c>
      <c r="F81" s="60" t="s">
        <v>83</v>
      </c>
    </row>
    <row r="82" spans="1:7" ht="15.75" customHeight="1">
      <c r="B82" s="308">
        <v>1</v>
      </c>
      <c r="C82" s="307" t="s">
        <v>750</v>
      </c>
      <c r="D82" s="308">
        <v>1</v>
      </c>
      <c r="E82" s="309">
        <v>40000</v>
      </c>
      <c r="F82" s="310">
        <f t="shared" ref="F82:F84" si="8">D82*E82</f>
        <v>40000</v>
      </c>
    </row>
    <row r="83" spans="1:7" ht="15.75" customHeight="1">
      <c r="B83" s="308">
        <v>2</v>
      </c>
      <c r="C83" s="307" t="s">
        <v>751</v>
      </c>
      <c r="D83" s="308">
        <v>1</v>
      </c>
      <c r="E83" s="309">
        <v>22000</v>
      </c>
      <c r="F83" s="310">
        <f t="shared" si="8"/>
        <v>22000</v>
      </c>
    </row>
    <row r="84" spans="1:7" ht="15.75" customHeight="1">
      <c r="B84" s="308">
        <v>3</v>
      </c>
      <c r="C84" s="307" t="s">
        <v>752</v>
      </c>
      <c r="D84" s="308">
        <v>1</v>
      </c>
      <c r="E84" s="309">
        <v>49000</v>
      </c>
      <c r="F84" s="310">
        <f t="shared" si="8"/>
        <v>49000</v>
      </c>
    </row>
    <row r="85" spans="1:7" ht="15.75" customHeight="1">
      <c r="B85" s="359" t="s">
        <v>88</v>
      </c>
      <c r="C85" s="339"/>
      <c r="D85" s="339"/>
      <c r="E85" s="340"/>
      <c r="F85" s="62">
        <f>SUM(F82:F84)</f>
        <v>111000</v>
      </c>
    </row>
    <row r="86" spans="1:7" ht="15.75" customHeight="1"/>
    <row r="87" spans="1:7" ht="15.75" customHeight="1">
      <c r="A87" s="353" t="s">
        <v>141</v>
      </c>
      <c r="B87" s="335"/>
      <c r="C87" s="335"/>
      <c r="D87" s="335"/>
      <c r="E87" s="335"/>
      <c r="F87" s="335"/>
      <c r="G87" s="335"/>
    </row>
    <row r="88" spans="1:7" ht="15.75" customHeight="1"/>
    <row r="89" spans="1:7" ht="15.75" customHeight="1"/>
    <row r="90" spans="1:7" ht="15.75" customHeight="1">
      <c r="A90">
        <v>2.5</v>
      </c>
      <c r="B90" s="351" t="s">
        <v>143</v>
      </c>
      <c r="C90" s="335"/>
      <c r="D90" s="335"/>
      <c r="E90" s="335"/>
      <c r="F90" s="335"/>
    </row>
    <row r="91" spans="1:7" ht="15.75" customHeight="1"/>
    <row r="92" spans="1:7" ht="15.75" customHeight="1">
      <c r="B92" s="63" t="s">
        <v>81</v>
      </c>
      <c r="C92" s="38" t="s">
        <v>82</v>
      </c>
      <c r="D92" s="38" t="s">
        <v>131</v>
      </c>
      <c r="E92" s="38" t="s">
        <v>132</v>
      </c>
      <c r="F92" s="38" t="s">
        <v>83</v>
      </c>
    </row>
    <row r="93" spans="1:7" ht="15.75" customHeight="1">
      <c r="B93" s="49">
        <v>1</v>
      </c>
      <c r="C93" s="43"/>
      <c r="D93" s="49"/>
      <c r="E93" s="64"/>
      <c r="F93" s="51">
        <f t="shared" ref="F93:F95" si="9">E93*D93</f>
        <v>0</v>
      </c>
    </row>
    <row r="94" spans="1:7" ht="15.75" customHeight="1">
      <c r="B94" s="49"/>
      <c r="C94" s="43"/>
      <c r="D94" s="49"/>
      <c r="E94" s="64"/>
      <c r="F94" s="51">
        <f t="shared" si="9"/>
        <v>0</v>
      </c>
    </row>
    <row r="95" spans="1:7" ht="15.75" customHeight="1">
      <c r="B95" s="49"/>
      <c r="C95" s="43"/>
      <c r="D95" s="49"/>
      <c r="E95" s="64"/>
      <c r="F95" s="51">
        <f t="shared" si="9"/>
        <v>0</v>
      </c>
    </row>
    <row r="96" spans="1:7" ht="15.75" customHeight="1">
      <c r="B96" s="355" t="s">
        <v>88</v>
      </c>
      <c r="C96" s="339"/>
      <c r="D96" s="339"/>
      <c r="E96" s="340"/>
      <c r="F96" s="47">
        <f>SUM(F93:F95)</f>
        <v>0</v>
      </c>
    </row>
    <row r="97" spans="1:7" ht="15.75" customHeight="1">
      <c r="A97" s="365" t="s">
        <v>144</v>
      </c>
      <c r="B97" s="366"/>
      <c r="C97" s="366"/>
      <c r="D97" s="366"/>
      <c r="E97" s="366"/>
      <c r="F97" s="366"/>
      <c r="G97" s="367"/>
    </row>
    <row r="98" spans="1:7" ht="15.75" customHeight="1"/>
    <row r="99" spans="1:7" ht="15.75" customHeight="1"/>
    <row r="100" spans="1:7" ht="15.75" customHeight="1">
      <c r="A100">
        <v>2.6</v>
      </c>
      <c r="B100" s="368" t="s">
        <v>776</v>
      </c>
      <c r="C100" s="335"/>
      <c r="D100" s="335"/>
    </row>
    <row r="101" spans="1:7" ht="15.75" customHeight="1"/>
    <row r="102" spans="1:7" thickBot="1">
      <c r="B102" s="65" t="s">
        <v>81</v>
      </c>
      <c r="C102" s="66" t="s">
        <v>82</v>
      </c>
      <c r="D102" s="66" t="s">
        <v>146</v>
      </c>
    </row>
    <row r="103" spans="1:7" ht="15.75" customHeight="1" thickBot="1">
      <c r="B103" s="311">
        <v>1</v>
      </c>
      <c r="C103" s="312" t="s">
        <v>753</v>
      </c>
      <c r="D103" s="313">
        <v>25000</v>
      </c>
    </row>
    <row r="104" spans="1:7" ht="15.75" customHeight="1" thickBot="1">
      <c r="B104" s="311">
        <v>2</v>
      </c>
      <c r="C104" s="312" t="s">
        <v>754</v>
      </c>
      <c r="D104" s="313">
        <v>21000</v>
      </c>
    </row>
    <row r="105" spans="1:7" ht="15.75" customHeight="1" thickBot="1">
      <c r="B105" s="311">
        <v>3</v>
      </c>
      <c r="C105" s="312" t="s">
        <v>755</v>
      </c>
      <c r="D105" s="313">
        <v>30000</v>
      </c>
    </row>
    <row r="106" spans="1:7" ht="15.75" customHeight="1" thickBot="1">
      <c r="B106" s="311">
        <v>4</v>
      </c>
      <c r="C106" s="312" t="s">
        <v>756</v>
      </c>
      <c r="D106" s="313">
        <v>22000</v>
      </c>
    </row>
    <row r="107" spans="1:7" ht="15.75" customHeight="1" thickBot="1">
      <c r="B107" s="311">
        <v>5</v>
      </c>
      <c r="C107" s="312" t="s">
        <v>757</v>
      </c>
      <c r="D107" s="313">
        <v>15000</v>
      </c>
    </row>
    <row r="108" spans="1:7" ht="15.75" customHeight="1" thickBot="1">
      <c r="B108" s="311">
        <v>6</v>
      </c>
      <c r="C108" s="312" t="s">
        <v>758</v>
      </c>
      <c r="D108" s="313">
        <v>350000</v>
      </c>
    </row>
    <row r="109" spans="1:7" ht="15.75" customHeight="1" thickBot="1">
      <c r="B109" s="67"/>
      <c r="C109" s="68"/>
      <c r="D109" s="69"/>
    </row>
    <row r="110" spans="1:7" ht="15.75" customHeight="1" thickBot="1">
      <c r="B110" s="362" t="s">
        <v>88</v>
      </c>
      <c r="C110" s="363"/>
      <c r="D110" s="70">
        <f>SUM(D103:D109)</f>
        <v>463000</v>
      </c>
    </row>
    <row r="111" spans="1:7" ht="15.75" customHeight="1"/>
    <row r="112" spans="1:7" ht="25.5" customHeight="1">
      <c r="A112" s="364" t="s">
        <v>147</v>
      </c>
      <c r="B112" s="335"/>
      <c r="C112" s="335"/>
      <c r="D112" s="335"/>
      <c r="E112" s="335"/>
    </row>
  </sheetData>
  <mergeCells count="23">
    <mergeCell ref="B110:C110"/>
    <mergeCell ref="A112:E112"/>
    <mergeCell ref="A87:G87"/>
    <mergeCell ref="B96:E96"/>
    <mergeCell ref="B90:F90"/>
    <mergeCell ref="A97:G97"/>
    <mergeCell ref="B100:D100"/>
    <mergeCell ref="B85:E85"/>
    <mergeCell ref="B68:F68"/>
    <mergeCell ref="B64:H64"/>
    <mergeCell ref="B15:G15"/>
    <mergeCell ref="B17:H17"/>
    <mergeCell ref="B60:C60"/>
    <mergeCell ref="B38:C38"/>
    <mergeCell ref="B55:C55"/>
    <mergeCell ref="B74:E74"/>
    <mergeCell ref="A76:G76"/>
    <mergeCell ref="B79:F79"/>
    <mergeCell ref="B12:F12"/>
    <mergeCell ref="B2:G2"/>
    <mergeCell ref="B62:F62"/>
    <mergeCell ref="B22:C22"/>
    <mergeCell ref="B58:C58"/>
  </mergeCells>
  <pageMargins left="0.7" right="0.7" top="0.75" bottom="0.75" header="0" footer="0"/>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workbookViewId="0">
      <selection activeCell="A4" sqref="A4:K23"/>
    </sheetView>
  </sheetViews>
  <sheetFormatPr defaultColWidth="14.44140625" defaultRowHeight="15" customHeight="1"/>
  <cols>
    <col min="1" max="1" width="41.33203125" customWidth="1"/>
    <col min="2" max="2" width="14.5546875" customWidth="1"/>
    <col min="3" max="3" width="13.33203125" customWidth="1"/>
    <col min="4" max="4" width="13.44140625" customWidth="1"/>
    <col min="5" max="5" width="14.88671875" customWidth="1"/>
    <col min="6" max="7" width="14.6640625" customWidth="1"/>
    <col min="8" max="9" width="14.88671875" customWidth="1"/>
    <col min="10" max="10" width="14.6640625" customWidth="1"/>
    <col min="11" max="11" width="14.88671875" customWidth="1"/>
    <col min="12" max="17" width="10.5546875" customWidth="1"/>
  </cols>
  <sheetData>
    <row r="2" spans="1:11" ht="17.399999999999999">
      <c r="A2" s="351" t="s">
        <v>148</v>
      </c>
      <c r="B2" s="335"/>
      <c r="C2" s="335"/>
      <c r="D2" s="335"/>
      <c r="E2" s="335"/>
      <c r="F2" s="335"/>
      <c r="G2" s="335"/>
      <c r="H2" s="335"/>
      <c r="I2" s="335"/>
      <c r="J2" s="335"/>
      <c r="K2" s="335"/>
    </row>
    <row r="4" spans="1:11" ht="14.4">
      <c r="A4" s="71"/>
      <c r="B4" s="71"/>
      <c r="C4" s="71"/>
      <c r="D4" s="71"/>
      <c r="E4" s="72">
        <v>1</v>
      </c>
      <c r="F4" s="73">
        <f t="shared" ref="F4:K4" si="0">(E4*5%)+E4</f>
        <v>1.05</v>
      </c>
      <c r="G4" s="73">
        <f t="shared" si="0"/>
        <v>1.1025</v>
      </c>
      <c r="H4" s="73">
        <f t="shared" si="0"/>
        <v>1.1576250000000001</v>
      </c>
      <c r="I4" s="73">
        <f t="shared" si="0"/>
        <v>1.2155062500000002</v>
      </c>
      <c r="J4" s="73">
        <f t="shared" si="0"/>
        <v>1.2762815625000004</v>
      </c>
      <c r="K4" s="73">
        <f t="shared" si="0"/>
        <v>1.3400956406250004</v>
      </c>
    </row>
    <row r="5" spans="1:11" ht="14.4">
      <c r="A5" s="71"/>
      <c r="B5" s="71"/>
      <c r="C5" s="71"/>
      <c r="D5" s="71"/>
      <c r="E5" s="71"/>
      <c r="F5" s="71"/>
      <c r="G5" s="71"/>
      <c r="H5" s="71"/>
      <c r="I5" s="71"/>
      <c r="J5" s="71"/>
      <c r="K5" s="71"/>
    </row>
    <row r="6" spans="1:11" ht="14.4">
      <c r="A6" s="74" t="s">
        <v>149</v>
      </c>
      <c r="B6" s="74" t="s">
        <v>122</v>
      </c>
      <c r="C6" s="74" t="s">
        <v>150</v>
      </c>
      <c r="D6" s="74" t="s">
        <v>151</v>
      </c>
      <c r="E6" s="75" t="s">
        <v>152</v>
      </c>
      <c r="F6" s="75" t="s">
        <v>153</v>
      </c>
      <c r="G6" s="75" t="s">
        <v>154</v>
      </c>
      <c r="H6" s="75" t="s">
        <v>155</v>
      </c>
      <c r="I6" s="75" t="s">
        <v>156</v>
      </c>
      <c r="J6" s="75" t="s">
        <v>157</v>
      </c>
      <c r="K6" s="75" t="s">
        <v>158</v>
      </c>
    </row>
    <row r="7" spans="1:11" ht="14.4">
      <c r="A7" s="76"/>
      <c r="B7" s="76"/>
      <c r="C7" s="76"/>
      <c r="D7" s="76"/>
      <c r="E7" s="76"/>
      <c r="F7" s="76"/>
      <c r="G7" s="76"/>
      <c r="H7" s="76"/>
      <c r="I7" s="76"/>
      <c r="J7" s="76"/>
      <c r="K7" s="76"/>
    </row>
    <row r="8" spans="1:11" ht="14.4">
      <c r="A8" s="76" t="s">
        <v>159</v>
      </c>
      <c r="B8" s="76" t="s">
        <v>160</v>
      </c>
      <c r="C8" s="50">
        <v>1</v>
      </c>
      <c r="D8" s="77">
        <v>20000</v>
      </c>
      <c r="E8" s="78">
        <f t="shared" ref="E8:K8" si="1">$C8*$D8*12*E$4</f>
        <v>240000</v>
      </c>
      <c r="F8" s="78">
        <f t="shared" si="1"/>
        <v>252000</v>
      </c>
      <c r="G8" s="78">
        <f t="shared" si="1"/>
        <v>264600</v>
      </c>
      <c r="H8" s="78">
        <f t="shared" si="1"/>
        <v>277830.00000000006</v>
      </c>
      <c r="I8" s="78">
        <f t="shared" si="1"/>
        <v>291721.50000000006</v>
      </c>
      <c r="J8" s="78">
        <f t="shared" si="1"/>
        <v>306307.57500000007</v>
      </c>
      <c r="K8" s="78">
        <f t="shared" si="1"/>
        <v>321622.9537500001</v>
      </c>
    </row>
    <row r="9" spans="1:11" ht="14.4">
      <c r="A9" s="76" t="s">
        <v>161</v>
      </c>
      <c r="B9" s="76" t="s">
        <v>160</v>
      </c>
      <c r="C9" s="50">
        <v>1</v>
      </c>
      <c r="D9" s="77">
        <v>7500</v>
      </c>
      <c r="E9" s="78">
        <f t="shared" ref="E9:K9" si="2">$C9*$D9*12*E$4</f>
        <v>90000</v>
      </c>
      <c r="F9" s="78">
        <f t="shared" si="2"/>
        <v>94500</v>
      </c>
      <c r="G9" s="78">
        <f t="shared" si="2"/>
        <v>99225</v>
      </c>
      <c r="H9" s="78">
        <f t="shared" si="2"/>
        <v>104186.25000000001</v>
      </c>
      <c r="I9" s="78">
        <f t="shared" si="2"/>
        <v>109395.56250000001</v>
      </c>
      <c r="J9" s="78">
        <f t="shared" si="2"/>
        <v>114865.34062500003</v>
      </c>
      <c r="K9" s="78">
        <f t="shared" si="2"/>
        <v>120608.60765625004</v>
      </c>
    </row>
    <row r="10" spans="1:11" ht="14.4">
      <c r="A10" s="76" t="s">
        <v>162</v>
      </c>
      <c r="B10" s="76" t="s">
        <v>160</v>
      </c>
      <c r="C10" s="50">
        <v>2</v>
      </c>
      <c r="D10" s="77">
        <v>6000</v>
      </c>
      <c r="E10" s="78">
        <f t="shared" ref="E10:K10" si="3">$C10*$D10*12*E$4</f>
        <v>144000</v>
      </c>
      <c r="F10" s="78">
        <f t="shared" si="3"/>
        <v>151200</v>
      </c>
      <c r="G10" s="78">
        <f t="shared" si="3"/>
        <v>158760</v>
      </c>
      <c r="H10" s="78">
        <f t="shared" si="3"/>
        <v>166698.00000000003</v>
      </c>
      <c r="I10" s="78">
        <f t="shared" si="3"/>
        <v>175032.90000000002</v>
      </c>
      <c r="J10" s="78">
        <f t="shared" si="3"/>
        <v>183784.54500000004</v>
      </c>
      <c r="K10" s="78">
        <f t="shared" si="3"/>
        <v>192973.77225000007</v>
      </c>
    </row>
    <row r="11" spans="1:11" ht="14.4">
      <c r="A11" s="76" t="s">
        <v>163</v>
      </c>
      <c r="B11" s="76" t="s">
        <v>164</v>
      </c>
      <c r="C11" s="76">
        <v>12</v>
      </c>
      <c r="D11" s="77">
        <v>1000</v>
      </c>
      <c r="E11" s="78">
        <f t="shared" ref="E11:K11" si="4">$C11*$D11*E$4</f>
        <v>12000</v>
      </c>
      <c r="F11" s="78">
        <f t="shared" si="4"/>
        <v>12600</v>
      </c>
      <c r="G11" s="78">
        <f t="shared" si="4"/>
        <v>13230</v>
      </c>
      <c r="H11" s="78">
        <f t="shared" si="4"/>
        <v>13891.500000000002</v>
      </c>
      <c r="I11" s="78">
        <f t="shared" si="4"/>
        <v>14586.075000000003</v>
      </c>
      <c r="J11" s="78">
        <f t="shared" si="4"/>
        <v>15315.378750000003</v>
      </c>
      <c r="K11" s="78">
        <f t="shared" si="4"/>
        <v>16081.147687500004</v>
      </c>
    </row>
    <row r="12" spans="1:11" ht="14.4">
      <c r="A12" s="76" t="s">
        <v>165</v>
      </c>
      <c r="B12" s="76" t="s">
        <v>164</v>
      </c>
      <c r="C12" s="76">
        <v>12</v>
      </c>
      <c r="D12" s="77">
        <v>1500</v>
      </c>
      <c r="E12" s="78">
        <f t="shared" ref="E12:K12" si="5">$C12*$D12*E$4</f>
        <v>18000</v>
      </c>
      <c r="F12" s="78">
        <f t="shared" si="5"/>
        <v>18900</v>
      </c>
      <c r="G12" s="78">
        <f t="shared" si="5"/>
        <v>19845</v>
      </c>
      <c r="H12" s="78">
        <f t="shared" si="5"/>
        <v>20837.250000000004</v>
      </c>
      <c r="I12" s="78">
        <f t="shared" si="5"/>
        <v>21879.112500000003</v>
      </c>
      <c r="J12" s="78">
        <f t="shared" si="5"/>
        <v>22973.068125000005</v>
      </c>
      <c r="K12" s="78">
        <f t="shared" si="5"/>
        <v>24121.721531250008</v>
      </c>
    </row>
    <row r="13" spans="1:11" ht="14.4">
      <c r="A13" s="76" t="s">
        <v>166</v>
      </c>
      <c r="B13" s="76" t="s">
        <v>164</v>
      </c>
      <c r="C13" s="76">
        <v>12</v>
      </c>
      <c r="D13" s="77">
        <v>1500</v>
      </c>
      <c r="E13" s="78">
        <f t="shared" ref="E13:K13" si="6">$C13*$D13*E$4</f>
        <v>18000</v>
      </c>
      <c r="F13" s="78">
        <f t="shared" si="6"/>
        <v>18900</v>
      </c>
      <c r="G13" s="78">
        <f t="shared" si="6"/>
        <v>19845</v>
      </c>
      <c r="H13" s="78">
        <f t="shared" si="6"/>
        <v>20837.250000000004</v>
      </c>
      <c r="I13" s="78">
        <f t="shared" si="6"/>
        <v>21879.112500000003</v>
      </c>
      <c r="J13" s="78">
        <f t="shared" si="6"/>
        <v>22973.068125000005</v>
      </c>
      <c r="K13" s="78">
        <f t="shared" si="6"/>
        <v>24121.721531250008</v>
      </c>
    </row>
    <row r="14" spans="1:11" ht="14.4">
      <c r="A14" s="76" t="s">
        <v>167</v>
      </c>
      <c r="B14" s="76" t="s">
        <v>164</v>
      </c>
      <c r="C14" s="76">
        <v>12</v>
      </c>
      <c r="D14" s="77">
        <v>100</v>
      </c>
      <c r="E14" s="78">
        <f t="shared" ref="E14:K14" si="7">$C14*$D14*E$4</f>
        <v>1200</v>
      </c>
      <c r="F14" s="78">
        <f t="shared" si="7"/>
        <v>1260</v>
      </c>
      <c r="G14" s="78">
        <f t="shared" si="7"/>
        <v>1323</v>
      </c>
      <c r="H14" s="78">
        <f t="shared" si="7"/>
        <v>1389.15</v>
      </c>
      <c r="I14" s="78">
        <f t="shared" si="7"/>
        <v>1458.6075000000003</v>
      </c>
      <c r="J14" s="78">
        <f t="shared" si="7"/>
        <v>1531.5378750000004</v>
      </c>
      <c r="K14" s="78">
        <f t="shared" si="7"/>
        <v>1608.1147687500004</v>
      </c>
    </row>
    <row r="15" spans="1:11" ht="14.4">
      <c r="A15" s="76" t="s">
        <v>168</v>
      </c>
      <c r="B15" s="76" t="s">
        <v>164</v>
      </c>
      <c r="C15" s="76">
        <v>12</v>
      </c>
      <c r="D15" s="77">
        <v>3000</v>
      </c>
      <c r="E15" s="78">
        <f t="shared" ref="E15:K15" si="8">$C15*$D15*E$4</f>
        <v>36000</v>
      </c>
      <c r="F15" s="78">
        <f t="shared" si="8"/>
        <v>37800</v>
      </c>
      <c r="G15" s="78">
        <f t="shared" si="8"/>
        <v>39690</v>
      </c>
      <c r="H15" s="78">
        <f t="shared" si="8"/>
        <v>41674.500000000007</v>
      </c>
      <c r="I15" s="78">
        <f t="shared" si="8"/>
        <v>43758.225000000006</v>
      </c>
      <c r="J15" s="78">
        <f t="shared" si="8"/>
        <v>45946.13625000001</v>
      </c>
      <c r="K15" s="78">
        <f t="shared" si="8"/>
        <v>48243.443062500017</v>
      </c>
    </row>
    <row r="16" spans="1:11" ht="14.4">
      <c r="A16" s="76" t="s">
        <v>169</v>
      </c>
      <c r="B16" s="76" t="s">
        <v>170</v>
      </c>
      <c r="C16" s="76">
        <v>1</v>
      </c>
      <c r="D16" s="77">
        <v>10000</v>
      </c>
      <c r="E16" s="78">
        <f t="shared" ref="E16:K16" si="9">$D16*E$4*$C16</f>
        <v>10000</v>
      </c>
      <c r="F16" s="78">
        <f t="shared" si="9"/>
        <v>10500</v>
      </c>
      <c r="G16" s="78">
        <f t="shared" si="9"/>
        <v>11025</v>
      </c>
      <c r="H16" s="78">
        <f t="shared" si="9"/>
        <v>11576.250000000002</v>
      </c>
      <c r="I16" s="78">
        <f t="shared" si="9"/>
        <v>12155.062500000002</v>
      </c>
      <c r="J16" s="78">
        <f t="shared" si="9"/>
        <v>12762.815625000003</v>
      </c>
      <c r="K16" s="78">
        <f t="shared" si="9"/>
        <v>13400.956406250005</v>
      </c>
    </row>
    <row r="17" spans="1:17" ht="14.4">
      <c r="A17" s="76"/>
      <c r="B17" s="76"/>
      <c r="C17" s="76"/>
      <c r="D17" s="77"/>
      <c r="E17" s="78">
        <f t="shared" ref="E17:K17" si="10">$D17*E$4*$C17</f>
        <v>0</v>
      </c>
      <c r="F17" s="78">
        <f t="shared" si="10"/>
        <v>0</v>
      </c>
      <c r="G17" s="78">
        <f t="shared" si="10"/>
        <v>0</v>
      </c>
      <c r="H17" s="78">
        <f t="shared" si="10"/>
        <v>0</v>
      </c>
      <c r="I17" s="78">
        <f t="shared" si="10"/>
        <v>0</v>
      </c>
      <c r="J17" s="78">
        <f t="shared" si="10"/>
        <v>0</v>
      </c>
      <c r="K17" s="78">
        <f t="shared" si="10"/>
        <v>0</v>
      </c>
    </row>
    <row r="18" spans="1:17" ht="14.4">
      <c r="A18" s="76"/>
      <c r="B18" s="76"/>
      <c r="C18" s="76"/>
      <c r="D18" s="77"/>
      <c r="E18" s="78">
        <f t="shared" ref="E18:K18" si="11">$D18*E$4*$C18</f>
        <v>0</v>
      </c>
      <c r="F18" s="78">
        <f t="shared" si="11"/>
        <v>0</v>
      </c>
      <c r="G18" s="78">
        <f t="shared" si="11"/>
        <v>0</v>
      </c>
      <c r="H18" s="78">
        <f t="shared" si="11"/>
        <v>0</v>
      </c>
      <c r="I18" s="78">
        <f t="shared" si="11"/>
        <v>0</v>
      </c>
      <c r="J18" s="78">
        <f t="shared" si="11"/>
        <v>0</v>
      </c>
      <c r="K18" s="78">
        <f t="shared" si="11"/>
        <v>0</v>
      </c>
    </row>
    <row r="19" spans="1:17" ht="14.4">
      <c r="A19" s="76"/>
      <c r="B19" s="76"/>
      <c r="C19" s="76"/>
      <c r="D19" s="77"/>
      <c r="E19" s="78">
        <f t="shared" ref="E19:K19" si="12">$D19*E$4*$C19</f>
        <v>0</v>
      </c>
      <c r="F19" s="78">
        <f t="shared" si="12"/>
        <v>0</v>
      </c>
      <c r="G19" s="78">
        <f t="shared" si="12"/>
        <v>0</v>
      </c>
      <c r="H19" s="78">
        <f t="shared" si="12"/>
        <v>0</v>
      </c>
      <c r="I19" s="78">
        <f t="shared" si="12"/>
        <v>0</v>
      </c>
      <c r="J19" s="78">
        <f t="shared" si="12"/>
        <v>0</v>
      </c>
      <c r="K19" s="78">
        <f t="shared" si="12"/>
        <v>0</v>
      </c>
    </row>
    <row r="20" spans="1:17" ht="14.4">
      <c r="A20" s="76"/>
      <c r="B20" s="76"/>
      <c r="C20" s="76"/>
      <c r="D20" s="77"/>
      <c r="E20" s="78">
        <f t="shared" ref="E20:K20" si="13">$D20*E$4*$C20</f>
        <v>0</v>
      </c>
      <c r="F20" s="78">
        <f t="shared" si="13"/>
        <v>0</v>
      </c>
      <c r="G20" s="78">
        <f t="shared" si="13"/>
        <v>0</v>
      </c>
      <c r="H20" s="78">
        <f t="shared" si="13"/>
        <v>0</v>
      </c>
      <c r="I20" s="78">
        <f t="shared" si="13"/>
        <v>0</v>
      </c>
      <c r="J20" s="78">
        <f t="shared" si="13"/>
        <v>0</v>
      </c>
      <c r="K20" s="78">
        <f t="shared" si="13"/>
        <v>0</v>
      </c>
    </row>
    <row r="21" spans="1:17" ht="15.75" customHeight="1">
      <c r="A21" s="76"/>
      <c r="B21" s="76"/>
      <c r="C21" s="76"/>
      <c r="D21" s="77"/>
      <c r="E21" s="78">
        <f t="shared" ref="E21:K21" si="14">$D21*E$4*$C21</f>
        <v>0</v>
      </c>
      <c r="F21" s="78">
        <f t="shared" si="14"/>
        <v>0</v>
      </c>
      <c r="G21" s="78">
        <f t="shared" si="14"/>
        <v>0</v>
      </c>
      <c r="H21" s="78">
        <f t="shared" si="14"/>
        <v>0</v>
      </c>
      <c r="I21" s="78">
        <f t="shared" si="14"/>
        <v>0</v>
      </c>
      <c r="J21" s="78">
        <f t="shared" si="14"/>
        <v>0</v>
      </c>
      <c r="K21" s="78">
        <f t="shared" si="14"/>
        <v>0</v>
      </c>
    </row>
    <row r="22" spans="1:17" ht="15.75" customHeight="1">
      <c r="A22" s="76"/>
      <c r="B22" s="76"/>
      <c r="C22" s="76"/>
      <c r="D22" s="78"/>
      <c r="E22" s="78">
        <f t="shared" ref="E22:K22" si="15">$D22*E$4*$C22</f>
        <v>0</v>
      </c>
      <c r="F22" s="78">
        <f t="shared" si="15"/>
        <v>0</v>
      </c>
      <c r="G22" s="78">
        <f t="shared" si="15"/>
        <v>0</v>
      </c>
      <c r="H22" s="78">
        <f t="shared" si="15"/>
        <v>0</v>
      </c>
      <c r="I22" s="78">
        <f t="shared" si="15"/>
        <v>0</v>
      </c>
      <c r="J22" s="78">
        <f t="shared" si="15"/>
        <v>0</v>
      </c>
      <c r="K22" s="78">
        <f t="shared" si="15"/>
        <v>0</v>
      </c>
    </row>
    <row r="23" spans="1:17" ht="15.75" customHeight="1">
      <c r="A23" s="79" t="s">
        <v>171</v>
      </c>
      <c r="B23" s="79"/>
      <c r="C23" s="79"/>
      <c r="D23" s="80"/>
      <c r="E23" s="80">
        <f t="shared" ref="E23:K23" si="16">SUM(E8:E22)</f>
        <v>569200</v>
      </c>
      <c r="F23" s="80">
        <f t="shared" si="16"/>
        <v>597660</v>
      </c>
      <c r="G23" s="80">
        <f t="shared" si="16"/>
        <v>627543</v>
      </c>
      <c r="H23" s="80">
        <f t="shared" si="16"/>
        <v>658920.15000000014</v>
      </c>
      <c r="I23" s="80">
        <f t="shared" si="16"/>
        <v>691866.1575000002</v>
      </c>
      <c r="J23" s="80">
        <f t="shared" si="16"/>
        <v>726459.46537500015</v>
      </c>
      <c r="K23" s="80">
        <f t="shared" si="16"/>
        <v>762782.43864375027</v>
      </c>
    </row>
    <row r="24" spans="1:17" ht="15.75" customHeight="1"/>
    <row r="25" spans="1:17" ht="15.75" customHeight="1"/>
    <row r="26" spans="1:17" ht="15.75" customHeight="1"/>
    <row r="27" spans="1:17" ht="15.75" customHeight="1"/>
    <row r="28" spans="1:17" ht="15.75" customHeight="1">
      <c r="A28" s="371"/>
      <c r="B28" s="335"/>
      <c r="C28" s="335"/>
      <c r="D28" s="335"/>
      <c r="E28" s="335"/>
      <c r="F28" s="335"/>
      <c r="G28" s="335"/>
      <c r="H28" s="335"/>
      <c r="I28" s="335"/>
      <c r="J28" s="335"/>
      <c r="K28" s="335"/>
      <c r="L28" s="335"/>
      <c r="M28" s="335"/>
      <c r="N28" s="335"/>
      <c r="O28" s="335"/>
    </row>
    <row r="29" spans="1:17" ht="15.75" customHeight="1">
      <c r="A29" s="374" t="s">
        <v>172</v>
      </c>
      <c r="B29" s="335"/>
      <c r="C29" s="335"/>
      <c r="D29" s="335"/>
      <c r="E29" s="335"/>
      <c r="F29" s="335"/>
      <c r="G29" s="335"/>
      <c r="H29" s="335"/>
      <c r="I29" s="335"/>
      <c r="J29" s="335"/>
      <c r="K29" s="335"/>
      <c r="L29" s="335"/>
      <c r="M29" s="335"/>
      <c r="N29" s="335"/>
      <c r="O29" s="335"/>
      <c r="P29" s="335"/>
      <c r="Q29" s="335"/>
    </row>
    <row r="30" spans="1:17" ht="15.75" customHeight="1">
      <c r="A30" s="81"/>
      <c r="B30" s="81"/>
      <c r="C30" s="81"/>
      <c r="D30" s="81"/>
      <c r="E30" s="81"/>
      <c r="F30" s="81"/>
      <c r="G30" s="81"/>
      <c r="H30" s="81"/>
      <c r="I30" s="81"/>
      <c r="J30" s="81"/>
      <c r="K30" s="81"/>
      <c r="L30" s="81"/>
      <c r="M30" s="81"/>
      <c r="N30" s="81"/>
      <c r="O30" s="81"/>
      <c r="P30" s="82"/>
      <c r="Q30" s="82"/>
    </row>
    <row r="31" spans="1:17" ht="15.75" customHeight="1">
      <c r="A31" s="71"/>
      <c r="B31" s="71"/>
      <c r="C31" s="372" t="s">
        <v>173</v>
      </c>
      <c r="D31" s="337"/>
      <c r="E31" s="337"/>
      <c r="F31" s="337"/>
      <c r="G31" s="337"/>
      <c r="H31" s="337"/>
      <c r="I31" s="337"/>
      <c r="J31" s="71"/>
      <c r="K31" s="373" t="s">
        <v>174</v>
      </c>
      <c r="L31" s="337"/>
      <c r="M31" s="337"/>
      <c r="N31" s="337"/>
      <c r="O31" s="337"/>
      <c r="P31" s="337"/>
      <c r="Q31" s="337"/>
    </row>
    <row r="32" spans="1:17" ht="15.75" customHeight="1">
      <c r="A32" s="74" t="s">
        <v>149</v>
      </c>
      <c r="B32" s="83"/>
      <c r="C32" s="84" t="s">
        <v>152</v>
      </c>
      <c r="D32" s="84" t="s">
        <v>153</v>
      </c>
      <c r="E32" s="84" t="s">
        <v>154</v>
      </c>
      <c r="F32" s="84" t="s">
        <v>155</v>
      </c>
      <c r="G32" s="84" t="s">
        <v>156</v>
      </c>
      <c r="H32" s="84" t="s">
        <v>157</v>
      </c>
      <c r="I32" s="84" t="s">
        <v>158</v>
      </c>
      <c r="J32" s="85"/>
      <c r="K32" s="84" t="s">
        <v>152</v>
      </c>
      <c r="L32" s="84" t="s">
        <v>153</v>
      </c>
      <c r="M32" s="84" t="s">
        <v>154</v>
      </c>
      <c r="N32" s="84" t="s">
        <v>155</v>
      </c>
      <c r="O32" s="84" t="s">
        <v>156</v>
      </c>
      <c r="P32" s="84" t="s">
        <v>157</v>
      </c>
      <c r="Q32" s="84" t="s">
        <v>158</v>
      </c>
    </row>
    <row r="33" spans="1:17" ht="15.75" customHeight="1">
      <c r="A33" s="86" t="s">
        <v>175</v>
      </c>
      <c r="B33" s="76"/>
      <c r="C33" s="76"/>
      <c r="D33" s="76"/>
      <c r="E33" s="76"/>
      <c r="F33" s="76"/>
      <c r="G33" s="87"/>
      <c r="H33" s="87"/>
      <c r="I33" s="87"/>
      <c r="J33" s="76"/>
      <c r="K33" s="76"/>
      <c r="L33" s="76"/>
      <c r="M33" s="76"/>
      <c r="N33" s="76"/>
      <c r="O33" s="87"/>
      <c r="P33" s="87"/>
      <c r="Q33" s="87"/>
    </row>
    <row r="34" spans="1:17" ht="15.75" customHeight="1">
      <c r="A34" s="86"/>
      <c r="B34" s="76"/>
      <c r="C34" s="76"/>
      <c r="D34" s="76"/>
      <c r="E34" s="76"/>
      <c r="F34" s="76"/>
      <c r="G34" s="87"/>
      <c r="H34" s="87"/>
      <c r="I34" s="87"/>
      <c r="J34" s="76"/>
      <c r="K34" s="76"/>
      <c r="L34" s="76"/>
      <c r="M34" s="76"/>
      <c r="N34" s="76"/>
      <c r="O34" s="87"/>
      <c r="P34" s="87"/>
      <c r="Q34" s="87"/>
    </row>
    <row r="35" spans="1:17" ht="15.75" customHeight="1">
      <c r="A35" s="88"/>
      <c r="B35" s="88"/>
      <c r="C35" s="76"/>
      <c r="D35" s="76"/>
      <c r="E35" s="76"/>
      <c r="F35" s="76"/>
      <c r="G35" s="76"/>
      <c r="H35" s="76"/>
      <c r="I35" s="76"/>
      <c r="J35" s="76"/>
      <c r="K35" s="76"/>
      <c r="L35" s="76"/>
      <c r="M35" s="76"/>
      <c r="N35" s="76"/>
      <c r="O35" s="76"/>
      <c r="P35" s="76"/>
      <c r="Q35" s="76"/>
    </row>
    <row r="36" spans="1:17" ht="15.75" customHeight="1">
      <c r="A36" s="89" t="s">
        <v>176</v>
      </c>
      <c r="B36" s="89"/>
      <c r="C36" s="76"/>
      <c r="D36" s="76"/>
      <c r="E36" s="76"/>
      <c r="F36" s="76"/>
      <c r="G36" s="76"/>
      <c r="H36" s="76"/>
      <c r="I36" s="76"/>
      <c r="J36" s="76"/>
      <c r="K36" s="76"/>
      <c r="L36" s="76"/>
      <c r="M36" s="76"/>
      <c r="N36" s="76"/>
      <c r="O36" s="76"/>
      <c r="P36" s="76"/>
      <c r="Q36" s="76"/>
    </row>
    <row r="37" spans="1:17" ht="15.75" customHeight="1">
      <c r="A37" s="88" t="s">
        <v>177</v>
      </c>
      <c r="B37" s="88"/>
      <c r="C37" s="90">
        <f>'1.Project Cost and MOF'!D5</f>
        <v>1948800</v>
      </c>
      <c r="D37" s="90">
        <f t="shared" ref="D37:I37" si="17">C40</f>
        <v>1887023.04</v>
      </c>
      <c r="E37" s="90">
        <f t="shared" si="17"/>
        <v>1825246.08</v>
      </c>
      <c r="F37" s="90">
        <f t="shared" si="17"/>
        <v>1763469.12</v>
      </c>
      <c r="G37" s="90">
        <f t="shared" si="17"/>
        <v>1701692.1600000001</v>
      </c>
      <c r="H37" s="90">
        <f t="shared" si="17"/>
        <v>1639915.2000000002</v>
      </c>
      <c r="I37" s="90">
        <f t="shared" si="17"/>
        <v>1578138.2400000002</v>
      </c>
      <c r="J37" s="76"/>
      <c r="K37" s="90">
        <f>C37</f>
        <v>1948800</v>
      </c>
      <c r="L37" s="90">
        <f t="shared" ref="L37:Q37" si="18">K40</f>
        <v>1753920</v>
      </c>
      <c r="M37" s="90">
        <f t="shared" si="18"/>
        <v>1578528</v>
      </c>
      <c r="N37" s="90">
        <f t="shared" si="18"/>
        <v>1420675.2</v>
      </c>
      <c r="O37" s="90">
        <f t="shared" si="18"/>
        <v>1278607.68</v>
      </c>
      <c r="P37" s="90">
        <f t="shared" si="18"/>
        <v>1150746.912</v>
      </c>
      <c r="Q37" s="90">
        <f t="shared" si="18"/>
        <v>1035672.2208</v>
      </c>
    </row>
    <row r="38" spans="1:17" ht="15.75" customHeight="1">
      <c r="A38" s="88" t="s">
        <v>178</v>
      </c>
      <c r="B38" s="88"/>
      <c r="C38" s="90">
        <f t="shared" ref="C38:I38" si="19">$C$37*$B$74</f>
        <v>61776.959999999999</v>
      </c>
      <c r="D38" s="90">
        <f t="shared" si="19"/>
        <v>61776.959999999999</v>
      </c>
      <c r="E38" s="90">
        <f t="shared" si="19"/>
        <v>61776.959999999999</v>
      </c>
      <c r="F38" s="90">
        <f t="shared" si="19"/>
        <v>61776.959999999999</v>
      </c>
      <c r="G38" s="90">
        <f t="shared" si="19"/>
        <v>61776.959999999999</v>
      </c>
      <c r="H38" s="90">
        <f t="shared" si="19"/>
        <v>61776.959999999999</v>
      </c>
      <c r="I38" s="90">
        <f t="shared" si="19"/>
        <v>61776.959999999999</v>
      </c>
      <c r="J38" s="76"/>
      <c r="K38" s="90">
        <f t="shared" ref="K38:Q38" si="20">K37*$C$74</f>
        <v>194880</v>
      </c>
      <c r="L38" s="90">
        <f t="shared" si="20"/>
        <v>175392</v>
      </c>
      <c r="M38" s="90">
        <f t="shared" si="20"/>
        <v>157852.80000000002</v>
      </c>
      <c r="N38" s="90">
        <f t="shared" si="20"/>
        <v>142067.51999999999</v>
      </c>
      <c r="O38" s="90">
        <f t="shared" si="20"/>
        <v>127860.768</v>
      </c>
      <c r="P38" s="90">
        <f t="shared" si="20"/>
        <v>115074.6912</v>
      </c>
      <c r="Q38" s="90">
        <f t="shared" si="20"/>
        <v>103567.22208000001</v>
      </c>
    </row>
    <row r="39" spans="1:17" ht="15.75" customHeight="1">
      <c r="A39" s="88" t="s">
        <v>179</v>
      </c>
      <c r="B39" s="88"/>
      <c r="C39" s="90">
        <f>C38</f>
        <v>61776.959999999999</v>
      </c>
      <c r="D39" s="90">
        <f t="shared" ref="D39:I39" si="21">C39+D38</f>
        <v>123553.92</v>
      </c>
      <c r="E39" s="90">
        <f t="shared" si="21"/>
        <v>185330.88</v>
      </c>
      <c r="F39" s="90">
        <f t="shared" si="21"/>
        <v>247107.84</v>
      </c>
      <c r="G39" s="90">
        <f t="shared" si="21"/>
        <v>308884.8</v>
      </c>
      <c r="H39" s="90">
        <f t="shared" si="21"/>
        <v>370661.76</v>
      </c>
      <c r="I39" s="90">
        <f t="shared" si="21"/>
        <v>432438.72000000003</v>
      </c>
      <c r="J39" s="76"/>
      <c r="K39" s="90">
        <f>K38</f>
        <v>194880</v>
      </c>
      <c r="L39" s="90">
        <f t="shared" ref="L39:Q39" si="22">K39+L38</f>
        <v>370272</v>
      </c>
      <c r="M39" s="90">
        <f t="shared" si="22"/>
        <v>528124.80000000005</v>
      </c>
      <c r="N39" s="90">
        <f t="shared" si="22"/>
        <v>670192.32000000007</v>
      </c>
      <c r="O39" s="90">
        <f t="shared" si="22"/>
        <v>798053.08800000011</v>
      </c>
      <c r="P39" s="90">
        <f t="shared" si="22"/>
        <v>913127.77920000011</v>
      </c>
      <c r="Q39" s="90">
        <f t="shared" si="22"/>
        <v>1016695.0012800001</v>
      </c>
    </row>
    <row r="40" spans="1:17" ht="15.75" customHeight="1">
      <c r="A40" s="88" t="s">
        <v>180</v>
      </c>
      <c r="B40" s="88"/>
      <c r="C40" s="90">
        <f t="shared" ref="C40:I40" si="23">C37-C38</f>
        <v>1887023.04</v>
      </c>
      <c r="D40" s="90">
        <f t="shared" si="23"/>
        <v>1825246.08</v>
      </c>
      <c r="E40" s="90">
        <f t="shared" si="23"/>
        <v>1763469.12</v>
      </c>
      <c r="F40" s="90">
        <f t="shared" si="23"/>
        <v>1701692.1600000001</v>
      </c>
      <c r="G40" s="90">
        <f t="shared" si="23"/>
        <v>1639915.2000000002</v>
      </c>
      <c r="H40" s="90">
        <f t="shared" si="23"/>
        <v>1578138.2400000002</v>
      </c>
      <c r="I40" s="90">
        <f t="shared" si="23"/>
        <v>1516361.2800000003</v>
      </c>
      <c r="J40" s="76"/>
      <c r="K40" s="90">
        <f t="shared" ref="K40:Q40" si="24">K37-K38</f>
        <v>1753920</v>
      </c>
      <c r="L40" s="90">
        <f t="shared" si="24"/>
        <v>1578528</v>
      </c>
      <c r="M40" s="90">
        <f t="shared" si="24"/>
        <v>1420675.2</v>
      </c>
      <c r="N40" s="90">
        <f t="shared" si="24"/>
        <v>1278607.68</v>
      </c>
      <c r="O40" s="90">
        <f t="shared" si="24"/>
        <v>1150746.912</v>
      </c>
      <c r="P40" s="90">
        <f t="shared" si="24"/>
        <v>1035672.2208</v>
      </c>
      <c r="Q40" s="90">
        <f t="shared" si="24"/>
        <v>932104.99872000003</v>
      </c>
    </row>
    <row r="41" spans="1:17" ht="15.75" customHeight="1">
      <c r="A41" s="88"/>
      <c r="B41" s="88"/>
      <c r="C41" s="90"/>
      <c r="D41" s="90"/>
      <c r="E41" s="90"/>
      <c r="F41" s="90"/>
      <c r="G41" s="90"/>
      <c r="H41" s="90"/>
      <c r="I41" s="90"/>
      <c r="J41" s="76"/>
      <c r="K41" s="90"/>
      <c r="L41" s="90"/>
      <c r="M41" s="90"/>
      <c r="N41" s="90"/>
      <c r="O41" s="90"/>
      <c r="P41" s="90"/>
      <c r="Q41" s="90"/>
    </row>
    <row r="42" spans="1:17" ht="15.75" customHeight="1">
      <c r="A42" s="89" t="s">
        <v>181</v>
      </c>
      <c r="B42" s="89"/>
      <c r="C42" s="90"/>
      <c r="D42" s="90"/>
      <c r="E42" s="90"/>
      <c r="F42" s="90"/>
      <c r="G42" s="90"/>
      <c r="H42" s="90"/>
      <c r="I42" s="90"/>
      <c r="J42" s="76"/>
      <c r="K42" s="90"/>
      <c r="L42" s="90"/>
      <c r="M42" s="90"/>
      <c r="N42" s="90"/>
      <c r="O42" s="90"/>
      <c r="P42" s="90"/>
      <c r="Q42" s="90"/>
    </row>
    <row r="43" spans="1:17" ht="15.75" customHeight="1">
      <c r="A43" s="88" t="s">
        <v>177</v>
      </c>
      <c r="B43" s="88"/>
      <c r="C43" s="90">
        <f>'1.Project Cost and MOF'!D6</f>
        <v>5841000</v>
      </c>
      <c r="D43" s="90">
        <f t="shared" ref="D43:I43" si="25">C46</f>
        <v>5471264.7000000002</v>
      </c>
      <c r="E43" s="90">
        <f t="shared" si="25"/>
        <v>5101529.4000000004</v>
      </c>
      <c r="F43" s="90">
        <f t="shared" si="25"/>
        <v>4731794.1000000006</v>
      </c>
      <c r="G43" s="90">
        <f t="shared" si="25"/>
        <v>4362058.8000000007</v>
      </c>
      <c r="H43" s="90">
        <f t="shared" si="25"/>
        <v>3992323.5000000009</v>
      </c>
      <c r="I43" s="90">
        <f t="shared" si="25"/>
        <v>3622588.2000000011</v>
      </c>
      <c r="J43" s="76"/>
      <c r="K43" s="90">
        <f>C43</f>
        <v>5841000</v>
      </c>
      <c r="L43" s="90">
        <f t="shared" ref="L43:Q43" si="26">K46</f>
        <v>4964850</v>
      </c>
      <c r="M43" s="90">
        <f t="shared" si="26"/>
        <v>4220122.5</v>
      </c>
      <c r="N43" s="90">
        <f t="shared" si="26"/>
        <v>3587104.125</v>
      </c>
      <c r="O43" s="90">
        <f t="shared" si="26"/>
        <v>3049038.5062500001</v>
      </c>
      <c r="P43" s="90">
        <f t="shared" si="26"/>
        <v>2591682.7303125001</v>
      </c>
      <c r="Q43" s="90">
        <f t="shared" si="26"/>
        <v>2202930.3207656252</v>
      </c>
    </row>
    <row r="44" spans="1:17" ht="15.75" customHeight="1">
      <c r="A44" s="88" t="s">
        <v>178</v>
      </c>
      <c r="B44" s="88"/>
      <c r="C44" s="90">
        <f t="shared" ref="C44:I44" si="27">$C$43*$B$78</f>
        <v>369735.3</v>
      </c>
      <c r="D44" s="90">
        <f t="shared" si="27"/>
        <v>369735.3</v>
      </c>
      <c r="E44" s="90">
        <f t="shared" si="27"/>
        <v>369735.3</v>
      </c>
      <c r="F44" s="90">
        <f t="shared" si="27"/>
        <v>369735.3</v>
      </c>
      <c r="G44" s="90">
        <f t="shared" si="27"/>
        <v>369735.3</v>
      </c>
      <c r="H44" s="90">
        <f t="shared" si="27"/>
        <v>369735.3</v>
      </c>
      <c r="I44" s="90">
        <f t="shared" si="27"/>
        <v>369735.3</v>
      </c>
      <c r="J44" s="76"/>
      <c r="K44" s="90">
        <f t="shared" ref="K44:Q44" si="28">K43*$C$78</f>
        <v>876150</v>
      </c>
      <c r="L44" s="90">
        <f t="shared" si="28"/>
        <v>744727.5</v>
      </c>
      <c r="M44" s="90">
        <f t="shared" si="28"/>
        <v>633018.375</v>
      </c>
      <c r="N44" s="90">
        <f t="shared" si="28"/>
        <v>538065.61875000002</v>
      </c>
      <c r="O44" s="90">
        <f t="shared" si="28"/>
        <v>457355.7759375</v>
      </c>
      <c r="P44" s="90">
        <f t="shared" si="28"/>
        <v>388752.40954687499</v>
      </c>
      <c r="Q44" s="90">
        <f t="shared" si="28"/>
        <v>330439.54811484378</v>
      </c>
    </row>
    <row r="45" spans="1:17" ht="15.75" customHeight="1">
      <c r="A45" s="88" t="s">
        <v>179</v>
      </c>
      <c r="B45" s="88"/>
      <c r="C45" s="90">
        <f>C44</f>
        <v>369735.3</v>
      </c>
      <c r="D45" s="90">
        <f t="shared" ref="D45:I45" si="29">C45+D44</f>
        <v>739470.6</v>
      </c>
      <c r="E45" s="90">
        <f t="shared" si="29"/>
        <v>1109205.8999999999</v>
      </c>
      <c r="F45" s="90">
        <f t="shared" si="29"/>
        <v>1478941.2</v>
      </c>
      <c r="G45" s="90">
        <f t="shared" si="29"/>
        <v>1848676.5</v>
      </c>
      <c r="H45" s="90">
        <f t="shared" si="29"/>
        <v>2218411.7999999998</v>
      </c>
      <c r="I45" s="90">
        <f t="shared" si="29"/>
        <v>2588147.0999999996</v>
      </c>
      <c r="J45" s="76"/>
      <c r="K45" s="90">
        <f>K44</f>
        <v>876150</v>
      </c>
      <c r="L45" s="90">
        <f t="shared" ref="L45:Q45" si="30">K45+L44</f>
        <v>1620877.5</v>
      </c>
      <c r="M45" s="90">
        <f t="shared" si="30"/>
        <v>2253895.875</v>
      </c>
      <c r="N45" s="90">
        <f t="shared" si="30"/>
        <v>2791961.4937499999</v>
      </c>
      <c r="O45" s="90">
        <f t="shared" si="30"/>
        <v>3249317.2696874999</v>
      </c>
      <c r="P45" s="90">
        <f t="shared" si="30"/>
        <v>3638069.6792343748</v>
      </c>
      <c r="Q45" s="90">
        <f t="shared" si="30"/>
        <v>3968509.2273492184</v>
      </c>
    </row>
    <row r="46" spans="1:17" ht="15.75" customHeight="1">
      <c r="A46" s="88" t="s">
        <v>180</v>
      </c>
      <c r="B46" s="88"/>
      <c r="C46" s="90">
        <f t="shared" ref="C46:I46" si="31">C43-C44</f>
        <v>5471264.7000000002</v>
      </c>
      <c r="D46" s="90">
        <f t="shared" si="31"/>
        <v>5101529.4000000004</v>
      </c>
      <c r="E46" s="90">
        <f t="shared" si="31"/>
        <v>4731794.1000000006</v>
      </c>
      <c r="F46" s="90">
        <f t="shared" si="31"/>
        <v>4362058.8000000007</v>
      </c>
      <c r="G46" s="90">
        <f t="shared" si="31"/>
        <v>3992323.5000000009</v>
      </c>
      <c r="H46" s="90">
        <f t="shared" si="31"/>
        <v>3622588.2000000011</v>
      </c>
      <c r="I46" s="90">
        <f t="shared" si="31"/>
        <v>3252852.9000000013</v>
      </c>
      <c r="J46" s="76"/>
      <c r="K46" s="90">
        <f t="shared" ref="K46:Q46" si="32">K43-K44</f>
        <v>4964850</v>
      </c>
      <c r="L46" s="90">
        <f t="shared" si="32"/>
        <v>4220122.5</v>
      </c>
      <c r="M46" s="90">
        <f t="shared" si="32"/>
        <v>3587104.125</v>
      </c>
      <c r="N46" s="90">
        <f t="shared" si="32"/>
        <v>3049038.5062500001</v>
      </c>
      <c r="O46" s="90">
        <f t="shared" si="32"/>
        <v>2591682.7303125001</v>
      </c>
      <c r="P46" s="90">
        <f t="shared" si="32"/>
        <v>2202930.3207656252</v>
      </c>
      <c r="Q46" s="90">
        <f t="shared" si="32"/>
        <v>1872490.7726507816</v>
      </c>
    </row>
    <row r="47" spans="1:17" ht="15.75" customHeight="1">
      <c r="A47" s="88"/>
      <c r="B47" s="88"/>
      <c r="C47" s="90"/>
      <c r="D47" s="90"/>
      <c r="E47" s="90"/>
      <c r="F47" s="90"/>
      <c r="G47" s="90"/>
      <c r="H47" s="90"/>
      <c r="I47" s="90"/>
      <c r="J47" s="76"/>
      <c r="K47" s="90"/>
      <c r="L47" s="90"/>
      <c r="M47" s="90"/>
      <c r="N47" s="90"/>
      <c r="O47" s="90"/>
      <c r="P47" s="90"/>
      <c r="Q47" s="90"/>
    </row>
    <row r="48" spans="1:17" ht="15.75" customHeight="1">
      <c r="A48" s="89" t="s">
        <v>182</v>
      </c>
      <c r="B48" s="89"/>
      <c r="C48" s="90"/>
      <c r="D48" s="90"/>
      <c r="E48" s="90"/>
      <c r="F48" s="90"/>
      <c r="G48" s="90"/>
      <c r="H48" s="90"/>
      <c r="I48" s="90"/>
      <c r="J48" s="76"/>
      <c r="K48" s="90"/>
      <c r="L48" s="90"/>
      <c r="M48" s="90"/>
      <c r="N48" s="90"/>
      <c r="O48" s="90"/>
      <c r="P48" s="90"/>
      <c r="Q48" s="90"/>
    </row>
    <row r="49" spans="1:17" ht="15.75" customHeight="1">
      <c r="A49" s="88" t="s">
        <v>177</v>
      </c>
      <c r="B49" s="88"/>
      <c r="C49" s="90">
        <f>'1.Project Cost and MOF'!D7</f>
        <v>64500</v>
      </c>
      <c r="D49" s="90">
        <f t="shared" ref="D49:I49" si="33">C52</f>
        <v>58050</v>
      </c>
      <c r="E49" s="90">
        <f t="shared" si="33"/>
        <v>51600</v>
      </c>
      <c r="F49" s="90">
        <f t="shared" si="33"/>
        <v>45150</v>
      </c>
      <c r="G49" s="90">
        <f t="shared" si="33"/>
        <v>38700</v>
      </c>
      <c r="H49" s="90">
        <f t="shared" si="33"/>
        <v>32250</v>
      </c>
      <c r="I49" s="90">
        <f t="shared" si="33"/>
        <v>25800</v>
      </c>
      <c r="J49" s="76"/>
      <c r="K49" s="90">
        <f>C49</f>
        <v>64500</v>
      </c>
      <c r="L49" s="90">
        <f t="shared" ref="L49:Q49" si="34">K52</f>
        <v>58050</v>
      </c>
      <c r="M49" s="90">
        <f t="shared" si="34"/>
        <v>52245</v>
      </c>
      <c r="N49" s="90">
        <f t="shared" si="34"/>
        <v>47020.5</v>
      </c>
      <c r="O49" s="90">
        <f t="shared" si="34"/>
        <v>42318.45</v>
      </c>
      <c r="P49" s="90">
        <f t="shared" si="34"/>
        <v>38086.604999999996</v>
      </c>
      <c r="Q49" s="90">
        <f t="shared" si="34"/>
        <v>34277.944499999998</v>
      </c>
    </row>
    <row r="50" spans="1:17" ht="15.75" customHeight="1">
      <c r="A50" s="88" t="s">
        <v>178</v>
      </c>
      <c r="B50" s="88"/>
      <c r="C50" s="90">
        <f t="shared" ref="C50:I50" si="35">$C$49*$B$75</f>
        <v>6450</v>
      </c>
      <c r="D50" s="90">
        <f t="shared" si="35"/>
        <v>6450</v>
      </c>
      <c r="E50" s="90">
        <f t="shared" si="35"/>
        <v>6450</v>
      </c>
      <c r="F50" s="90">
        <f t="shared" si="35"/>
        <v>6450</v>
      </c>
      <c r="G50" s="90">
        <f t="shared" si="35"/>
        <v>6450</v>
      </c>
      <c r="H50" s="90">
        <f t="shared" si="35"/>
        <v>6450</v>
      </c>
      <c r="I50" s="90">
        <f t="shared" si="35"/>
        <v>6450</v>
      </c>
      <c r="J50" s="76"/>
      <c r="K50" s="90">
        <f t="shared" ref="K50:Q50" si="36">K49*$C$75</f>
        <v>6450</v>
      </c>
      <c r="L50" s="90">
        <f t="shared" si="36"/>
        <v>5805</v>
      </c>
      <c r="M50" s="90">
        <f t="shared" si="36"/>
        <v>5224.5</v>
      </c>
      <c r="N50" s="90">
        <f t="shared" si="36"/>
        <v>4702.05</v>
      </c>
      <c r="O50" s="90">
        <f t="shared" si="36"/>
        <v>4231.8450000000003</v>
      </c>
      <c r="P50" s="90">
        <f t="shared" si="36"/>
        <v>3808.6605</v>
      </c>
      <c r="Q50" s="90">
        <f t="shared" si="36"/>
        <v>3427.7944499999999</v>
      </c>
    </row>
    <row r="51" spans="1:17" ht="15.75" customHeight="1">
      <c r="A51" s="88" t="s">
        <v>179</v>
      </c>
      <c r="B51" s="88"/>
      <c r="C51" s="90">
        <f>C50</f>
        <v>6450</v>
      </c>
      <c r="D51" s="90">
        <f t="shared" ref="D51:I51" si="37">C51+D50</f>
        <v>12900</v>
      </c>
      <c r="E51" s="90">
        <f t="shared" si="37"/>
        <v>19350</v>
      </c>
      <c r="F51" s="90">
        <f t="shared" si="37"/>
        <v>25800</v>
      </c>
      <c r="G51" s="90">
        <f t="shared" si="37"/>
        <v>32250</v>
      </c>
      <c r="H51" s="90">
        <f t="shared" si="37"/>
        <v>38700</v>
      </c>
      <c r="I51" s="90">
        <f t="shared" si="37"/>
        <v>45150</v>
      </c>
      <c r="J51" s="76"/>
      <c r="K51" s="90">
        <f>K50</f>
        <v>6450</v>
      </c>
      <c r="L51" s="90">
        <f t="shared" ref="L51:Q51" si="38">K51+L50</f>
        <v>12255</v>
      </c>
      <c r="M51" s="90">
        <f t="shared" si="38"/>
        <v>17479.5</v>
      </c>
      <c r="N51" s="90">
        <f t="shared" si="38"/>
        <v>22181.55</v>
      </c>
      <c r="O51" s="90">
        <f t="shared" si="38"/>
        <v>26413.395</v>
      </c>
      <c r="P51" s="90">
        <f t="shared" si="38"/>
        <v>30222.055500000002</v>
      </c>
      <c r="Q51" s="90">
        <f t="shared" si="38"/>
        <v>33649.849950000003</v>
      </c>
    </row>
    <row r="52" spans="1:17" ht="15.75" customHeight="1">
      <c r="A52" s="88" t="s">
        <v>180</v>
      </c>
      <c r="B52" s="88"/>
      <c r="C52" s="90">
        <f t="shared" ref="C52:I52" si="39">C49-C50</f>
        <v>58050</v>
      </c>
      <c r="D52" s="90">
        <f t="shared" si="39"/>
        <v>51600</v>
      </c>
      <c r="E52" s="90">
        <f t="shared" si="39"/>
        <v>45150</v>
      </c>
      <c r="F52" s="90">
        <f t="shared" si="39"/>
        <v>38700</v>
      </c>
      <c r="G52" s="90">
        <f t="shared" si="39"/>
        <v>32250</v>
      </c>
      <c r="H52" s="90">
        <f t="shared" si="39"/>
        <v>25800</v>
      </c>
      <c r="I52" s="90">
        <f t="shared" si="39"/>
        <v>19350</v>
      </c>
      <c r="J52" s="76"/>
      <c r="K52" s="90">
        <f t="shared" ref="K52:Q52" si="40">K49-K50</f>
        <v>58050</v>
      </c>
      <c r="L52" s="90">
        <f t="shared" si="40"/>
        <v>52245</v>
      </c>
      <c r="M52" s="90">
        <f t="shared" si="40"/>
        <v>47020.5</v>
      </c>
      <c r="N52" s="90">
        <f t="shared" si="40"/>
        <v>42318.45</v>
      </c>
      <c r="O52" s="90">
        <f t="shared" si="40"/>
        <v>38086.604999999996</v>
      </c>
      <c r="P52" s="90">
        <f t="shared" si="40"/>
        <v>34277.944499999998</v>
      </c>
      <c r="Q52" s="90">
        <f t="shared" si="40"/>
        <v>30850.150049999997</v>
      </c>
    </row>
    <row r="53" spans="1:17" ht="15.75" customHeight="1">
      <c r="A53" s="88"/>
      <c r="B53" s="88"/>
      <c r="C53" s="90"/>
      <c r="D53" s="90"/>
      <c r="E53" s="90"/>
      <c r="F53" s="90"/>
      <c r="G53" s="90"/>
      <c r="H53" s="90"/>
      <c r="I53" s="90"/>
      <c r="J53" s="76"/>
      <c r="K53" s="90"/>
      <c r="L53" s="90"/>
      <c r="M53" s="90"/>
      <c r="N53" s="90"/>
      <c r="O53" s="90"/>
      <c r="P53" s="90"/>
      <c r="Q53" s="90"/>
    </row>
    <row r="54" spans="1:17" ht="15.75" customHeight="1">
      <c r="A54" s="89" t="s">
        <v>183</v>
      </c>
      <c r="B54" s="89"/>
      <c r="C54" s="90"/>
      <c r="D54" s="90"/>
      <c r="E54" s="90"/>
      <c r="F54" s="90"/>
      <c r="G54" s="90"/>
      <c r="H54" s="90"/>
      <c r="I54" s="90"/>
      <c r="J54" s="76"/>
      <c r="K54" s="90"/>
      <c r="L54" s="90"/>
      <c r="M54" s="90"/>
      <c r="N54" s="90"/>
      <c r="O54" s="90"/>
      <c r="P54" s="90"/>
      <c r="Q54" s="90"/>
    </row>
    <row r="55" spans="1:17" ht="15.75" customHeight="1">
      <c r="A55" s="88" t="s">
        <v>177</v>
      </c>
      <c r="B55" s="88"/>
      <c r="C55" s="90">
        <f>'1.Project Cost and MOF'!D9</f>
        <v>0</v>
      </c>
      <c r="D55" s="90">
        <f t="shared" ref="D55:I55" si="41">C58</f>
        <v>0</v>
      </c>
      <c r="E55" s="90">
        <f t="shared" si="41"/>
        <v>0</v>
      </c>
      <c r="F55" s="90">
        <f t="shared" si="41"/>
        <v>0</v>
      </c>
      <c r="G55" s="90">
        <f t="shared" si="41"/>
        <v>0</v>
      </c>
      <c r="H55" s="90">
        <f t="shared" si="41"/>
        <v>0</v>
      </c>
      <c r="I55" s="90">
        <f t="shared" si="41"/>
        <v>0</v>
      </c>
      <c r="J55" s="76"/>
      <c r="K55" s="90">
        <f>C55</f>
        <v>0</v>
      </c>
      <c r="L55" s="90">
        <f t="shared" ref="L55:Q55" si="42">K58</f>
        <v>0</v>
      </c>
      <c r="M55" s="90">
        <f t="shared" si="42"/>
        <v>0</v>
      </c>
      <c r="N55" s="90">
        <f t="shared" si="42"/>
        <v>0</v>
      </c>
      <c r="O55" s="90">
        <f t="shared" si="42"/>
        <v>0</v>
      </c>
      <c r="P55" s="90">
        <f t="shared" si="42"/>
        <v>0</v>
      </c>
      <c r="Q55" s="90">
        <f t="shared" si="42"/>
        <v>0</v>
      </c>
    </row>
    <row r="56" spans="1:17" ht="15.75" customHeight="1">
      <c r="A56" s="88" t="s">
        <v>178</v>
      </c>
      <c r="B56" s="88"/>
      <c r="C56" s="90">
        <f t="shared" ref="C56:I56" si="43">$C$55*$B$77</f>
        <v>0</v>
      </c>
      <c r="D56" s="90">
        <f t="shared" si="43"/>
        <v>0</v>
      </c>
      <c r="E56" s="90">
        <f t="shared" si="43"/>
        <v>0</v>
      </c>
      <c r="F56" s="90">
        <f t="shared" si="43"/>
        <v>0</v>
      </c>
      <c r="G56" s="90">
        <f t="shared" si="43"/>
        <v>0</v>
      </c>
      <c r="H56" s="90">
        <f t="shared" si="43"/>
        <v>0</v>
      </c>
      <c r="I56" s="90">
        <f t="shared" si="43"/>
        <v>0</v>
      </c>
      <c r="J56" s="76"/>
      <c r="K56" s="90">
        <f t="shared" ref="K56:Q56" si="44">K55*$C$77</f>
        <v>0</v>
      </c>
      <c r="L56" s="90">
        <f t="shared" si="44"/>
        <v>0</v>
      </c>
      <c r="M56" s="90">
        <f t="shared" si="44"/>
        <v>0</v>
      </c>
      <c r="N56" s="90">
        <f t="shared" si="44"/>
        <v>0</v>
      </c>
      <c r="O56" s="90">
        <f t="shared" si="44"/>
        <v>0</v>
      </c>
      <c r="P56" s="90">
        <f t="shared" si="44"/>
        <v>0</v>
      </c>
      <c r="Q56" s="90">
        <f t="shared" si="44"/>
        <v>0</v>
      </c>
    </row>
    <row r="57" spans="1:17" ht="15.75" customHeight="1">
      <c r="A57" s="88" t="s">
        <v>179</v>
      </c>
      <c r="B57" s="88"/>
      <c r="C57" s="90">
        <f>C56</f>
        <v>0</v>
      </c>
      <c r="D57" s="90">
        <f t="shared" ref="D57:I57" si="45">C57+D56</f>
        <v>0</v>
      </c>
      <c r="E57" s="90">
        <f t="shared" si="45"/>
        <v>0</v>
      </c>
      <c r="F57" s="90">
        <f t="shared" si="45"/>
        <v>0</v>
      </c>
      <c r="G57" s="90">
        <f t="shared" si="45"/>
        <v>0</v>
      </c>
      <c r="H57" s="90">
        <f t="shared" si="45"/>
        <v>0</v>
      </c>
      <c r="I57" s="90">
        <f t="shared" si="45"/>
        <v>0</v>
      </c>
      <c r="J57" s="76"/>
      <c r="K57" s="90">
        <f>K56</f>
        <v>0</v>
      </c>
      <c r="L57" s="90">
        <f t="shared" ref="L57:Q57" si="46">K57+L56</f>
        <v>0</v>
      </c>
      <c r="M57" s="90">
        <f t="shared" si="46"/>
        <v>0</v>
      </c>
      <c r="N57" s="90">
        <f t="shared" si="46"/>
        <v>0</v>
      </c>
      <c r="O57" s="90">
        <f t="shared" si="46"/>
        <v>0</v>
      </c>
      <c r="P57" s="90">
        <f t="shared" si="46"/>
        <v>0</v>
      </c>
      <c r="Q57" s="90">
        <f t="shared" si="46"/>
        <v>0</v>
      </c>
    </row>
    <row r="58" spans="1:17" ht="15.75" customHeight="1">
      <c r="A58" s="88" t="s">
        <v>180</v>
      </c>
      <c r="B58" s="88"/>
      <c r="C58" s="90">
        <f t="shared" ref="C58:I58" si="47">C55-C56</f>
        <v>0</v>
      </c>
      <c r="D58" s="90">
        <f t="shared" si="47"/>
        <v>0</v>
      </c>
      <c r="E58" s="90">
        <f t="shared" si="47"/>
        <v>0</v>
      </c>
      <c r="F58" s="90">
        <f t="shared" si="47"/>
        <v>0</v>
      </c>
      <c r="G58" s="90">
        <f t="shared" si="47"/>
        <v>0</v>
      </c>
      <c r="H58" s="90">
        <f t="shared" si="47"/>
        <v>0</v>
      </c>
      <c r="I58" s="90">
        <f t="shared" si="47"/>
        <v>0</v>
      </c>
      <c r="J58" s="76"/>
      <c r="K58" s="90">
        <f t="shared" ref="K58:Q58" si="48">K55-K56</f>
        <v>0</v>
      </c>
      <c r="L58" s="90">
        <f t="shared" si="48"/>
        <v>0</v>
      </c>
      <c r="M58" s="90">
        <f t="shared" si="48"/>
        <v>0</v>
      </c>
      <c r="N58" s="90">
        <f t="shared" si="48"/>
        <v>0</v>
      </c>
      <c r="O58" s="90">
        <f t="shared" si="48"/>
        <v>0</v>
      </c>
      <c r="P58" s="90">
        <f t="shared" si="48"/>
        <v>0</v>
      </c>
      <c r="Q58" s="90">
        <f t="shared" si="48"/>
        <v>0</v>
      </c>
    </row>
    <row r="59" spans="1:17" ht="15.75" customHeight="1">
      <c r="A59" s="88"/>
      <c r="B59" s="88"/>
      <c r="C59" s="90"/>
      <c r="D59" s="90"/>
      <c r="E59" s="90"/>
      <c r="F59" s="90"/>
      <c r="G59" s="90"/>
      <c r="H59" s="90"/>
      <c r="I59" s="90"/>
      <c r="J59" s="76"/>
      <c r="K59" s="90"/>
      <c r="L59" s="90"/>
      <c r="M59" s="90"/>
      <c r="N59" s="90"/>
      <c r="O59" s="90"/>
      <c r="P59" s="90"/>
      <c r="Q59" s="90"/>
    </row>
    <row r="60" spans="1:17" ht="15.75" customHeight="1">
      <c r="A60" s="89" t="s">
        <v>184</v>
      </c>
      <c r="B60" s="88"/>
      <c r="C60" s="90"/>
      <c r="D60" s="90"/>
      <c r="E60" s="90"/>
      <c r="F60" s="90"/>
      <c r="G60" s="90"/>
      <c r="H60" s="90"/>
      <c r="I60" s="90"/>
      <c r="J60" s="76"/>
      <c r="K60" s="90"/>
      <c r="L60" s="90"/>
      <c r="M60" s="90"/>
      <c r="N60" s="90"/>
      <c r="O60" s="90"/>
      <c r="P60" s="90"/>
      <c r="Q60" s="90"/>
    </row>
    <row r="61" spans="1:17" ht="15.75" customHeight="1">
      <c r="A61" s="88" t="str">
        <f t="shared" ref="A61:A64" si="49">A55</f>
        <v>Asset Value</v>
      </c>
      <c r="B61" s="88"/>
      <c r="C61" s="90">
        <f>'1.Project Cost and MOF'!D8</f>
        <v>111000</v>
      </c>
      <c r="D61" s="90">
        <f t="shared" ref="D61:I61" si="50">C64</f>
        <v>99900</v>
      </c>
      <c r="E61" s="90">
        <f t="shared" si="50"/>
        <v>88800</v>
      </c>
      <c r="F61" s="90">
        <f t="shared" si="50"/>
        <v>77700</v>
      </c>
      <c r="G61" s="90">
        <f t="shared" si="50"/>
        <v>66600</v>
      </c>
      <c r="H61" s="90">
        <f t="shared" si="50"/>
        <v>55500</v>
      </c>
      <c r="I61" s="90">
        <f t="shared" si="50"/>
        <v>44400</v>
      </c>
      <c r="J61" s="76"/>
      <c r="K61" s="90">
        <f>C61</f>
        <v>111000</v>
      </c>
      <c r="L61" s="90">
        <f t="shared" ref="L61:Q61" si="51">K64</f>
        <v>66600</v>
      </c>
      <c r="M61" s="90">
        <f t="shared" si="51"/>
        <v>39960</v>
      </c>
      <c r="N61" s="90">
        <f t="shared" si="51"/>
        <v>23976</v>
      </c>
      <c r="O61" s="90">
        <f t="shared" si="51"/>
        <v>14385.6</v>
      </c>
      <c r="P61" s="90">
        <f t="shared" si="51"/>
        <v>8631.36</v>
      </c>
      <c r="Q61" s="90">
        <f t="shared" si="51"/>
        <v>5178.8160000000007</v>
      </c>
    </row>
    <row r="62" spans="1:17" ht="15.75" customHeight="1">
      <c r="A62" s="88" t="str">
        <f t="shared" si="49"/>
        <v>Depreciation</v>
      </c>
      <c r="B62" s="88"/>
      <c r="C62" s="90">
        <f t="shared" ref="C62:I62" si="52">$C$61*$B$76</f>
        <v>11100</v>
      </c>
      <c r="D62" s="90">
        <f t="shared" si="52"/>
        <v>11100</v>
      </c>
      <c r="E62" s="90">
        <f t="shared" si="52"/>
        <v>11100</v>
      </c>
      <c r="F62" s="90">
        <f t="shared" si="52"/>
        <v>11100</v>
      </c>
      <c r="G62" s="90">
        <f t="shared" si="52"/>
        <v>11100</v>
      </c>
      <c r="H62" s="90">
        <f t="shared" si="52"/>
        <v>11100</v>
      </c>
      <c r="I62" s="90">
        <f t="shared" si="52"/>
        <v>11100</v>
      </c>
      <c r="J62" s="76"/>
      <c r="K62" s="90">
        <f t="shared" ref="K62:Q62" si="53">K61*$C$76</f>
        <v>44400</v>
      </c>
      <c r="L62" s="90">
        <f t="shared" si="53"/>
        <v>26640</v>
      </c>
      <c r="M62" s="90">
        <f t="shared" si="53"/>
        <v>15984</v>
      </c>
      <c r="N62" s="90">
        <f t="shared" si="53"/>
        <v>9590.4</v>
      </c>
      <c r="O62" s="90">
        <f t="shared" si="53"/>
        <v>5754.2400000000007</v>
      </c>
      <c r="P62" s="90">
        <f t="shared" si="53"/>
        <v>3452.5440000000003</v>
      </c>
      <c r="Q62" s="90">
        <f t="shared" si="53"/>
        <v>2071.5264000000002</v>
      </c>
    </row>
    <row r="63" spans="1:17" ht="15.75" customHeight="1">
      <c r="A63" s="88" t="str">
        <f t="shared" si="49"/>
        <v>Accumulated Depreciation</v>
      </c>
      <c r="B63" s="88"/>
      <c r="C63" s="90">
        <f>C62</f>
        <v>11100</v>
      </c>
      <c r="D63" s="90">
        <f t="shared" ref="D63:I63" si="54">D62+C63</f>
        <v>22200</v>
      </c>
      <c r="E63" s="90">
        <f t="shared" si="54"/>
        <v>33300</v>
      </c>
      <c r="F63" s="90">
        <f t="shared" si="54"/>
        <v>44400</v>
      </c>
      <c r="G63" s="90">
        <f t="shared" si="54"/>
        <v>55500</v>
      </c>
      <c r="H63" s="90">
        <f t="shared" si="54"/>
        <v>66600</v>
      </c>
      <c r="I63" s="90">
        <f t="shared" si="54"/>
        <v>77700</v>
      </c>
      <c r="J63" s="76"/>
      <c r="K63" s="90">
        <f>K62</f>
        <v>44400</v>
      </c>
      <c r="L63" s="90">
        <f t="shared" ref="L63:Q63" si="55">L62+K63</f>
        <v>71040</v>
      </c>
      <c r="M63" s="90">
        <f t="shared" si="55"/>
        <v>87024</v>
      </c>
      <c r="N63" s="90">
        <f t="shared" si="55"/>
        <v>96614.399999999994</v>
      </c>
      <c r="O63" s="90">
        <f t="shared" si="55"/>
        <v>102368.64</v>
      </c>
      <c r="P63" s="90">
        <f t="shared" si="55"/>
        <v>105821.18399999999</v>
      </c>
      <c r="Q63" s="90">
        <f t="shared" si="55"/>
        <v>107892.7104</v>
      </c>
    </row>
    <row r="64" spans="1:17" ht="15.75" customHeight="1">
      <c r="A64" s="88" t="str">
        <f t="shared" si="49"/>
        <v>Net Fixed Assets</v>
      </c>
      <c r="B64" s="88"/>
      <c r="C64" s="90">
        <f t="shared" ref="C64:I64" si="56">C61-C62</f>
        <v>99900</v>
      </c>
      <c r="D64" s="90">
        <f t="shared" si="56"/>
        <v>88800</v>
      </c>
      <c r="E64" s="90">
        <f t="shared" si="56"/>
        <v>77700</v>
      </c>
      <c r="F64" s="90">
        <f t="shared" si="56"/>
        <v>66600</v>
      </c>
      <c r="G64" s="90">
        <f t="shared" si="56"/>
        <v>55500</v>
      </c>
      <c r="H64" s="90">
        <f t="shared" si="56"/>
        <v>44400</v>
      </c>
      <c r="I64" s="90">
        <f t="shared" si="56"/>
        <v>33300</v>
      </c>
      <c r="J64" s="76"/>
      <c r="K64" s="90">
        <f t="shared" ref="K64:Q64" si="57">K61-K62</f>
        <v>66600</v>
      </c>
      <c r="L64" s="90">
        <f t="shared" si="57"/>
        <v>39960</v>
      </c>
      <c r="M64" s="90">
        <f t="shared" si="57"/>
        <v>23976</v>
      </c>
      <c r="N64" s="90">
        <f t="shared" si="57"/>
        <v>14385.6</v>
      </c>
      <c r="O64" s="90">
        <f t="shared" si="57"/>
        <v>8631.36</v>
      </c>
      <c r="P64" s="90">
        <f t="shared" si="57"/>
        <v>5178.8160000000007</v>
      </c>
      <c r="Q64" s="90">
        <f t="shared" si="57"/>
        <v>3107.2896000000005</v>
      </c>
    </row>
    <row r="65" spans="1:17" ht="15.75" customHeight="1">
      <c r="A65" s="89" t="s">
        <v>185</v>
      </c>
      <c r="B65" s="89"/>
      <c r="C65" s="91">
        <f t="shared" ref="C65:I65" si="58">C49+C43+C37+C55+C61</f>
        <v>7965300</v>
      </c>
      <c r="D65" s="91">
        <f t="shared" si="58"/>
        <v>7516237.7400000002</v>
      </c>
      <c r="E65" s="91">
        <f t="shared" si="58"/>
        <v>7067175.4800000004</v>
      </c>
      <c r="F65" s="91">
        <f t="shared" si="58"/>
        <v>6618113.2200000007</v>
      </c>
      <c r="G65" s="91">
        <f t="shared" si="58"/>
        <v>6169050.9600000009</v>
      </c>
      <c r="H65" s="91">
        <f t="shared" si="58"/>
        <v>5719988.7000000011</v>
      </c>
      <c r="I65" s="91">
        <f t="shared" si="58"/>
        <v>5270926.4400000013</v>
      </c>
      <c r="J65" s="76"/>
      <c r="K65" s="91">
        <f t="shared" ref="K65:Q65" si="59">K49+K43+K37+K55+K61</f>
        <v>7965300</v>
      </c>
      <c r="L65" s="91">
        <f t="shared" si="59"/>
        <v>6843420</v>
      </c>
      <c r="M65" s="91">
        <f t="shared" si="59"/>
        <v>5890855.5</v>
      </c>
      <c r="N65" s="91">
        <f t="shared" si="59"/>
        <v>5078775.8250000002</v>
      </c>
      <c r="O65" s="91">
        <f t="shared" si="59"/>
        <v>4384350.2362500001</v>
      </c>
      <c r="P65" s="91">
        <f t="shared" si="59"/>
        <v>3789147.6073125</v>
      </c>
      <c r="Q65" s="91">
        <f t="shared" si="59"/>
        <v>3278059.3020656253</v>
      </c>
    </row>
    <row r="66" spans="1:17" ht="15.75" customHeight="1">
      <c r="A66" s="89" t="s">
        <v>186</v>
      </c>
      <c r="B66" s="89"/>
      <c r="C66" s="91">
        <f t="shared" ref="C66:I66" si="60">C50+C44+C38+C56+C62</f>
        <v>449062.26</v>
      </c>
      <c r="D66" s="91">
        <f t="shared" si="60"/>
        <v>449062.26</v>
      </c>
      <c r="E66" s="91">
        <f t="shared" si="60"/>
        <v>449062.26</v>
      </c>
      <c r="F66" s="91">
        <f t="shared" si="60"/>
        <v>449062.26</v>
      </c>
      <c r="G66" s="91">
        <f t="shared" si="60"/>
        <v>449062.26</v>
      </c>
      <c r="H66" s="91">
        <f t="shared" si="60"/>
        <v>449062.26</v>
      </c>
      <c r="I66" s="91">
        <f t="shared" si="60"/>
        <v>449062.26</v>
      </c>
      <c r="J66" s="76"/>
      <c r="K66" s="91">
        <f t="shared" ref="K66:Q66" si="61">K50+K44+K38+K56+K62</f>
        <v>1121880</v>
      </c>
      <c r="L66" s="91">
        <f t="shared" si="61"/>
        <v>952564.5</v>
      </c>
      <c r="M66" s="91">
        <f t="shared" si="61"/>
        <v>812079.67500000005</v>
      </c>
      <c r="N66" s="91">
        <f t="shared" si="61"/>
        <v>694425.58875000011</v>
      </c>
      <c r="O66" s="91">
        <f t="shared" si="61"/>
        <v>595202.62893749995</v>
      </c>
      <c r="P66" s="91">
        <f t="shared" si="61"/>
        <v>511088.30524687498</v>
      </c>
      <c r="Q66" s="91">
        <f t="shared" si="61"/>
        <v>439506.09104484378</v>
      </c>
    </row>
    <row r="67" spans="1:17" ht="15.75" customHeight="1">
      <c r="A67" s="89" t="s">
        <v>187</v>
      </c>
      <c r="B67" s="89"/>
      <c r="C67" s="91">
        <f t="shared" ref="C67:I67" si="62">C51+C45+C39+C57+C63</f>
        <v>449062.26</v>
      </c>
      <c r="D67" s="91">
        <f t="shared" si="62"/>
        <v>898124.52</v>
      </c>
      <c r="E67" s="91">
        <f t="shared" si="62"/>
        <v>1347186.7799999998</v>
      </c>
      <c r="F67" s="91">
        <f t="shared" si="62"/>
        <v>1796249.04</v>
      </c>
      <c r="G67" s="91">
        <f t="shared" si="62"/>
        <v>2245311.2999999998</v>
      </c>
      <c r="H67" s="91">
        <f t="shared" si="62"/>
        <v>2694373.5599999996</v>
      </c>
      <c r="I67" s="91">
        <f t="shared" si="62"/>
        <v>3143435.82</v>
      </c>
      <c r="J67" s="76"/>
      <c r="K67" s="91">
        <f t="shared" ref="K67:Q67" si="63">K51+K45+K39+K57+K63</f>
        <v>1121880</v>
      </c>
      <c r="L67" s="91">
        <f t="shared" si="63"/>
        <v>2074444.5</v>
      </c>
      <c r="M67" s="91">
        <f t="shared" si="63"/>
        <v>2886524.1749999998</v>
      </c>
      <c r="N67" s="91">
        <f t="shared" si="63"/>
        <v>3580949.7637499995</v>
      </c>
      <c r="O67" s="91">
        <f t="shared" si="63"/>
        <v>4176152.3926875</v>
      </c>
      <c r="P67" s="91">
        <f t="shared" si="63"/>
        <v>4687240.6979343751</v>
      </c>
      <c r="Q67" s="91">
        <f t="shared" si="63"/>
        <v>5126746.7889792193</v>
      </c>
    </row>
    <row r="68" spans="1:17" ht="15.75" customHeight="1">
      <c r="A68" s="89" t="s">
        <v>180</v>
      </c>
      <c r="B68" s="89"/>
      <c r="C68" s="91">
        <f t="shared" ref="C68:I68" si="64">C52+C46+C40+C58+C64</f>
        <v>7516237.7400000002</v>
      </c>
      <c r="D68" s="91">
        <f t="shared" si="64"/>
        <v>7067175.4800000004</v>
      </c>
      <c r="E68" s="91">
        <f t="shared" si="64"/>
        <v>6618113.2200000007</v>
      </c>
      <c r="F68" s="91">
        <f t="shared" si="64"/>
        <v>6169050.9600000009</v>
      </c>
      <c r="G68" s="91">
        <f t="shared" si="64"/>
        <v>5719988.7000000011</v>
      </c>
      <c r="H68" s="91">
        <f t="shared" si="64"/>
        <v>5270926.4400000013</v>
      </c>
      <c r="I68" s="91">
        <f t="shared" si="64"/>
        <v>4821864.1800000016</v>
      </c>
      <c r="J68" s="76"/>
      <c r="K68" s="91">
        <f t="shared" ref="K68:Q68" si="65">K52+K46+K40+K58+K64</f>
        <v>6843420</v>
      </c>
      <c r="L68" s="91">
        <f t="shared" si="65"/>
        <v>5890855.5</v>
      </c>
      <c r="M68" s="91">
        <f t="shared" si="65"/>
        <v>5078775.8250000002</v>
      </c>
      <c r="N68" s="91">
        <f t="shared" si="65"/>
        <v>4384350.2362500001</v>
      </c>
      <c r="O68" s="91">
        <f t="shared" si="65"/>
        <v>3789147.6073125</v>
      </c>
      <c r="P68" s="91">
        <f t="shared" si="65"/>
        <v>3278059.3020656253</v>
      </c>
      <c r="Q68" s="91">
        <f t="shared" si="65"/>
        <v>2838553.2110207817</v>
      </c>
    </row>
    <row r="69" spans="1:17" ht="15.75" customHeight="1">
      <c r="A69" s="92"/>
      <c r="B69" s="92"/>
      <c r="C69" s="93"/>
      <c r="D69" s="93"/>
      <c r="E69" s="93"/>
      <c r="F69" s="93"/>
      <c r="G69" s="93"/>
      <c r="H69" s="93"/>
      <c r="I69" s="93"/>
      <c r="J69" s="71"/>
    </row>
    <row r="70" spans="1:17" ht="15.75" customHeight="1">
      <c r="A70" s="71"/>
      <c r="B70" s="71"/>
      <c r="C70" s="71"/>
      <c r="D70" s="71"/>
      <c r="E70" s="71"/>
      <c r="F70" s="71"/>
      <c r="G70" s="71"/>
      <c r="H70" s="71"/>
      <c r="I70" s="71"/>
      <c r="J70" s="71"/>
    </row>
    <row r="71" spans="1:17" ht="15.75" customHeight="1">
      <c r="A71" s="94" t="s">
        <v>188</v>
      </c>
      <c r="B71" s="95" t="s">
        <v>189</v>
      </c>
      <c r="C71" s="96" t="s">
        <v>190</v>
      </c>
      <c r="D71" s="71"/>
      <c r="E71" s="71"/>
      <c r="F71" s="71"/>
      <c r="G71" s="71"/>
      <c r="H71" s="71"/>
      <c r="I71" s="71"/>
      <c r="J71" s="71"/>
    </row>
    <row r="72" spans="1:17" ht="15.75" customHeight="1">
      <c r="A72" s="97" t="s">
        <v>191</v>
      </c>
      <c r="B72" s="95" t="s">
        <v>192</v>
      </c>
      <c r="C72" s="96" t="s">
        <v>193</v>
      </c>
      <c r="D72" s="71"/>
      <c r="E72" s="71"/>
      <c r="F72" s="71"/>
      <c r="G72" s="71"/>
      <c r="H72" s="71"/>
      <c r="I72" s="71"/>
      <c r="J72" s="71"/>
    </row>
    <row r="73" spans="1:17" ht="15.75" customHeight="1">
      <c r="A73" s="97" t="s">
        <v>125</v>
      </c>
      <c r="B73" s="73">
        <v>0</v>
      </c>
      <c r="C73" s="73">
        <v>0</v>
      </c>
      <c r="D73" s="71"/>
      <c r="E73" s="71"/>
      <c r="F73" s="71"/>
      <c r="G73" s="71"/>
      <c r="H73" s="71"/>
      <c r="I73" s="71"/>
      <c r="J73" s="71"/>
    </row>
    <row r="74" spans="1:17" ht="15.75" customHeight="1">
      <c r="A74" s="98" t="s">
        <v>176</v>
      </c>
      <c r="B74" s="73">
        <v>3.1699999999999999E-2</v>
      </c>
      <c r="C74" s="73">
        <v>0.1</v>
      </c>
      <c r="D74" s="72"/>
      <c r="E74" s="71"/>
      <c r="F74" s="71"/>
      <c r="G74" s="71"/>
      <c r="H74" s="71"/>
      <c r="I74" s="71"/>
      <c r="J74" s="71"/>
    </row>
    <row r="75" spans="1:17" ht="15.75" customHeight="1">
      <c r="A75" s="98" t="s">
        <v>182</v>
      </c>
      <c r="B75" s="73">
        <v>0.1</v>
      </c>
      <c r="C75" s="73">
        <v>0.1</v>
      </c>
      <c r="D75" s="71"/>
      <c r="E75" s="71"/>
      <c r="F75" s="71"/>
      <c r="G75" s="71"/>
      <c r="H75" s="71"/>
      <c r="I75" s="71"/>
      <c r="J75" s="71"/>
    </row>
    <row r="76" spans="1:17" ht="15.75" customHeight="1">
      <c r="A76" s="71" t="s">
        <v>194</v>
      </c>
      <c r="B76" s="73">
        <v>0.1</v>
      </c>
      <c r="C76" s="73">
        <v>0.4</v>
      </c>
      <c r="D76" s="71"/>
      <c r="E76" s="71"/>
      <c r="F76" s="71"/>
      <c r="G76" s="71"/>
      <c r="H76" s="71"/>
      <c r="I76" s="71"/>
      <c r="J76" s="71"/>
    </row>
    <row r="77" spans="1:17" ht="15.75" customHeight="1">
      <c r="A77" s="71" t="s">
        <v>195</v>
      </c>
      <c r="B77" s="73">
        <v>0.1188</v>
      </c>
      <c r="C77" s="73">
        <v>0.15</v>
      </c>
      <c r="D77" s="71"/>
      <c r="E77" s="71"/>
      <c r="F77" s="71"/>
      <c r="G77" s="71"/>
      <c r="H77" s="71"/>
      <c r="I77" s="71"/>
      <c r="J77" s="71"/>
    </row>
    <row r="78" spans="1:17" ht="15.75" customHeight="1">
      <c r="A78" s="98" t="s">
        <v>196</v>
      </c>
      <c r="B78" s="73">
        <v>6.3299999999999995E-2</v>
      </c>
      <c r="C78" s="73">
        <v>0.15</v>
      </c>
      <c r="D78" s="71"/>
      <c r="E78" s="71"/>
      <c r="F78" s="71"/>
      <c r="G78" s="71"/>
      <c r="H78" s="71"/>
      <c r="I78" s="71"/>
      <c r="J78" s="71"/>
    </row>
    <row r="79" spans="1:17" ht="15.75" customHeight="1">
      <c r="A79" s="97" t="s">
        <v>188</v>
      </c>
      <c r="B79" s="73"/>
      <c r="C79" s="72"/>
      <c r="D79" s="71"/>
      <c r="E79" s="71"/>
      <c r="F79" s="71"/>
      <c r="G79" s="71"/>
      <c r="H79" s="71"/>
      <c r="I79" s="71"/>
      <c r="J79" s="71"/>
    </row>
    <row r="80" spans="1:17" ht="15.75" customHeight="1">
      <c r="A80" s="98" t="s">
        <v>197</v>
      </c>
      <c r="B80" s="72">
        <v>0.2</v>
      </c>
      <c r="C80" s="72">
        <v>0.2</v>
      </c>
      <c r="D80" s="71"/>
      <c r="E80" s="71"/>
      <c r="F80" s="71"/>
      <c r="G80" s="71"/>
      <c r="H80" s="71"/>
      <c r="I80" s="71"/>
      <c r="J80" s="71"/>
    </row>
    <row r="81" spans="1:17" ht="15.75" customHeight="1">
      <c r="A81" s="71"/>
      <c r="B81" s="71"/>
      <c r="C81" s="71"/>
      <c r="D81" s="71"/>
      <c r="E81" s="71"/>
      <c r="F81" s="71"/>
      <c r="G81" s="71"/>
      <c r="H81" s="71"/>
      <c r="I81" s="71"/>
      <c r="J81" s="71"/>
    </row>
    <row r="82" spans="1:17" ht="15.75" customHeight="1">
      <c r="A82" s="71"/>
      <c r="B82" s="71"/>
      <c r="C82" s="71"/>
      <c r="D82" s="71"/>
      <c r="E82" s="72"/>
      <c r="F82" s="71"/>
      <c r="G82" s="71"/>
      <c r="H82" s="71"/>
      <c r="I82" s="71"/>
      <c r="J82" s="71"/>
    </row>
    <row r="83" spans="1:17" ht="15.75" customHeight="1">
      <c r="A83" s="351" t="s">
        <v>198</v>
      </c>
      <c r="B83" s="335"/>
      <c r="C83" s="335"/>
      <c r="D83" s="335"/>
      <c r="E83" s="335"/>
      <c r="F83" s="335"/>
      <c r="G83" s="335"/>
      <c r="H83" s="335"/>
      <c r="I83" s="335"/>
      <c r="J83" s="335"/>
      <c r="K83" s="99"/>
      <c r="L83" s="99"/>
      <c r="M83" s="99"/>
      <c r="N83" s="99"/>
      <c r="O83" s="99"/>
      <c r="P83" s="99"/>
      <c r="Q83" s="99"/>
    </row>
    <row r="84" spans="1:17" ht="15.75" customHeight="1">
      <c r="A84" s="100"/>
      <c r="B84" s="100"/>
      <c r="C84" s="99"/>
      <c r="D84" s="99"/>
      <c r="E84" s="99"/>
      <c r="F84" s="99"/>
      <c r="G84" s="99"/>
      <c r="H84" s="99"/>
      <c r="I84" s="99"/>
      <c r="J84" s="99"/>
      <c r="K84" s="99"/>
      <c r="L84" s="99"/>
      <c r="M84" s="99"/>
      <c r="N84" s="99"/>
      <c r="O84" s="99"/>
      <c r="P84" s="99"/>
      <c r="Q84" s="99"/>
    </row>
    <row r="85" spans="1:17" ht="15.75" customHeight="1">
      <c r="A85" s="101" t="s">
        <v>149</v>
      </c>
      <c r="B85" s="102" t="s">
        <v>199</v>
      </c>
      <c r="C85" s="103" t="s">
        <v>152</v>
      </c>
      <c r="D85" s="103" t="s">
        <v>153</v>
      </c>
      <c r="E85" s="103" t="s">
        <v>154</v>
      </c>
      <c r="F85" s="103" t="s">
        <v>155</v>
      </c>
      <c r="G85" s="103" t="s">
        <v>156</v>
      </c>
      <c r="H85" s="103" t="s">
        <v>157</v>
      </c>
      <c r="I85" s="103" t="s">
        <v>158</v>
      </c>
      <c r="J85" s="104"/>
      <c r="K85" s="104"/>
      <c r="L85" s="104"/>
      <c r="M85" s="99"/>
      <c r="N85" s="99"/>
      <c r="O85" s="99"/>
      <c r="P85" s="99"/>
      <c r="Q85" s="99"/>
    </row>
    <row r="86" spans="1:17" ht="15.75" customHeight="1">
      <c r="A86" s="105" t="s">
        <v>145</v>
      </c>
      <c r="B86" s="106">
        <v>5</v>
      </c>
      <c r="C86" s="90">
        <f>'1.Project Cost and MOF'!$D$10/5</f>
        <v>92600</v>
      </c>
      <c r="D86" s="90">
        <f>'1.Project Cost and MOF'!$D$10/5</f>
        <v>92600</v>
      </c>
      <c r="E86" s="90">
        <f>'1.Project Cost and MOF'!$D$10/5</f>
        <v>92600</v>
      </c>
      <c r="F86" s="90">
        <f>'1.Project Cost and MOF'!$D$10/5</f>
        <v>92600</v>
      </c>
      <c r="G86" s="90">
        <f>'1.Project Cost and MOF'!$D$10/5</f>
        <v>92600</v>
      </c>
      <c r="H86" s="90">
        <v>0</v>
      </c>
      <c r="I86" s="90">
        <v>0</v>
      </c>
      <c r="J86" s="104"/>
      <c r="K86" s="104"/>
      <c r="L86" s="104"/>
      <c r="M86" s="99"/>
      <c r="N86" s="99"/>
      <c r="O86" s="99"/>
      <c r="P86" s="99"/>
      <c r="Q86" s="99"/>
    </row>
    <row r="87" spans="1:17" ht="15.75" customHeight="1">
      <c r="A87" s="107" t="s">
        <v>200</v>
      </c>
      <c r="B87" s="108"/>
      <c r="C87" s="91">
        <f t="shared" ref="C87:I87" si="66">SUM(C85:C86)</f>
        <v>92600</v>
      </c>
      <c r="D87" s="91">
        <f t="shared" si="66"/>
        <v>92600</v>
      </c>
      <c r="E87" s="91">
        <f t="shared" si="66"/>
        <v>92600</v>
      </c>
      <c r="F87" s="91">
        <f t="shared" si="66"/>
        <v>92600</v>
      </c>
      <c r="G87" s="91">
        <f t="shared" si="66"/>
        <v>92600</v>
      </c>
      <c r="H87" s="91">
        <f t="shared" si="66"/>
        <v>0</v>
      </c>
      <c r="I87" s="91">
        <f t="shared" si="66"/>
        <v>0</v>
      </c>
      <c r="J87" s="109"/>
      <c r="K87" s="109"/>
      <c r="L87" s="109"/>
      <c r="M87" s="99"/>
      <c r="N87" s="99"/>
      <c r="O87" s="99"/>
      <c r="P87" s="99"/>
      <c r="Q87" s="99"/>
    </row>
    <row r="88" spans="1:17" ht="15.75" customHeight="1">
      <c r="A88" s="99"/>
      <c r="B88" s="99"/>
      <c r="C88" s="104"/>
      <c r="D88" s="104"/>
      <c r="E88" s="104"/>
      <c r="F88" s="104"/>
      <c r="G88" s="104"/>
      <c r="H88" s="104"/>
      <c r="I88" s="104"/>
      <c r="J88" s="104"/>
      <c r="K88" s="104"/>
      <c r="L88" s="104"/>
      <c r="M88" s="99"/>
      <c r="N88" s="99"/>
      <c r="O88" s="99"/>
      <c r="P88" s="99"/>
      <c r="Q88" s="99"/>
    </row>
    <row r="89" spans="1:17" ht="15.75" customHeight="1"/>
    <row r="90" spans="1:17" ht="15.75" customHeight="1"/>
    <row r="91" spans="1:17" ht="15.75" customHeight="1">
      <c r="A91" s="110"/>
      <c r="B91" s="99"/>
      <c r="C91" s="99"/>
      <c r="D91" s="99"/>
      <c r="E91" s="99"/>
      <c r="F91" s="99"/>
      <c r="G91" s="99"/>
      <c r="H91" s="99"/>
      <c r="I91" s="99"/>
      <c r="J91" s="99"/>
      <c r="K91" s="99"/>
    </row>
    <row r="92" spans="1:17" ht="15.75" customHeight="1">
      <c r="A92" s="369" t="s">
        <v>201</v>
      </c>
      <c r="B92" s="335"/>
      <c r="C92" s="335"/>
      <c r="D92" s="335"/>
      <c r="E92" s="335"/>
      <c r="F92" s="335"/>
      <c r="G92" s="335"/>
      <c r="H92" s="335"/>
      <c r="I92" s="111"/>
      <c r="J92" s="111"/>
      <c r="K92" s="111"/>
    </row>
    <row r="93" spans="1:17" ht="15.75" customHeight="1">
      <c r="A93" s="100"/>
      <c r="B93" s="99"/>
      <c r="C93" s="99"/>
      <c r="D93" s="99"/>
      <c r="E93" s="99"/>
      <c r="F93" s="99"/>
      <c r="G93" s="99"/>
      <c r="H93" s="99"/>
      <c r="I93" s="99"/>
      <c r="J93" s="99"/>
      <c r="K93" s="99"/>
    </row>
    <row r="94" spans="1:17" ht="15.75" customHeight="1">
      <c r="A94" s="74" t="s">
        <v>149</v>
      </c>
      <c r="B94" s="75" t="s">
        <v>152</v>
      </c>
      <c r="C94" s="75" t="s">
        <v>153</v>
      </c>
      <c r="D94" s="75" t="s">
        <v>154</v>
      </c>
      <c r="E94" s="75" t="s">
        <v>155</v>
      </c>
      <c r="F94" s="75" t="s">
        <v>156</v>
      </c>
      <c r="G94" s="75" t="s">
        <v>157</v>
      </c>
      <c r="H94" s="75" t="s">
        <v>158</v>
      </c>
      <c r="I94" s="111"/>
      <c r="J94" s="111"/>
      <c r="K94" s="111"/>
    </row>
    <row r="95" spans="1:17" ht="15.75" customHeight="1">
      <c r="A95" s="76" t="s">
        <v>202</v>
      </c>
      <c r="B95" s="112">
        <f>'6.Cons Profit &amp; Loss'!B49</f>
        <v>2253408.6824384946</v>
      </c>
      <c r="C95" s="112">
        <f>'6.Cons Profit &amp; Loss'!C49</f>
        <v>1931695.339384041</v>
      </c>
      <c r="D95" s="112">
        <f>'6.Cons Profit &amp; Loss'!D49</f>
        <v>2131838.1870140508</v>
      </c>
      <c r="E95" s="112">
        <f>'6.Cons Profit &amp; Loss'!E49</f>
        <v>2346199.437670399</v>
      </c>
      <c r="F95" s="112">
        <f>'6.Cons Profit &amp; Loss'!F49</f>
        <v>2575974.2866541394</v>
      </c>
      <c r="G95" s="112">
        <f>'6.Cons Profit &amp; Loss'!G49</f>
        <v>2915076.6163364402</v>
      </c>
      <c r="H95" s="112">
        <f>'6.Cons Profit &amp; Loss'!H49</f>
        <v>3179752.2794240201</v>
      </c>
      <c r="I95" s="113"/>
      <c r="J95" s="113"/>
      <c r="K95" s="113"/>
    </row>
    <row r="96" spans="1:17" ht="15.75" customHeight="1">
      <c r="A96" s="76" t="s">
        <v>203</v>
      </c>
      <c r="B96" s="112">
        <f>'6.Cons Profit &amp; Loss'!B42</f>
        <v>449062.26</v>
      </c>
      <c r="C96" s="112">
        <f>'6.Cons Profit &amp; Loss'!C42</f>
        <v>449062.26</v>
      </c>
      <c r="D96" s="112">
        <f>'6.Cons Profit &amp; Loss'!D42</f>
        <v>449062.26</v>
      </c>
      <c r="E96" s="112">
        <f>'6.Cons Profit &amp; Loss'!E42</f>
        <v>449062.26</v>
      </c>
      <c r="F96" s="112">
        <f>'6.Cons Profit &amp; Loss'!F42</f>
        <v>449062.26</v>
      </c>
      <c r="G96" s="112">
        <f>'6.Cons Profit &amp; Loss'!G42</f>
        <v>449062.26</v>
      </c>
      <c r="H96" s="112">
        <f>'6.Cons Profit &amp; Loss'!H42</f>
        <v>449062.26</v>
      </c>
      <c r="I96" s="113"/>
      <c r="J96" s="113"/>
      <c r="K96" s="113"/>
    </row>
    <row r="97" spans="1:11" ht="15.75" customHeight="1">
      <c r="A97" s="76" t="s">
        <v>204</v>
      </c>
      <c r="B97" s="112">
        <f>'3.Other Exp &amp; Taxes'!K66</f>
        <v>1121880</v>
      </c>
      <c r="C97" s="112">
        <f>'3.Other Exp &amp; Taxes'!L66</f>
        <v>952564.5</v>
      </c>
      <c r="D97" s="112">
        <f>'3.Other Exp &amp; Taxes'!M66</f>
        <v>812079.67500000005</v>
      </c>
      <c r="E97" s="112">
        <f>'3.Other Exp &amp; Taxes'!N66</f>
        <v>694425.58875000011</v>
      </c>
      <c r="F97" s="112">
        <f>'3.Other Exp &amp; Taxes'!O66</f>
        <v>595202.62893749995</v>
      </c>
      <c r="G97" s="112">
        <f>'3.Other Exp &amp; Taxes'!P66</f>
        <v>511088.30524687498</v>
      </c>
      <c r="H97" s="112">
        <f>'3.Other Exp &amp; Taxes'!Q66</f>
        <v>439506.09104484378</v>
      </c>
      <c r="I97" s="113"/>
      <c r="J97" s="113"/>
      <c r="K97" s="113"/>
    </row>
    <row r="98" spans="1:11" ht="15.75" customHeight="1">
      <c r="A98" s="76" t="s">
        <v>205</v>
      </c>
      <c r="B98" s="112">
        <f t="shared" ref="B98:H98" si="67">B95+B96-B97</f>
        <v>1580590.9424384944</v>
      </c>
      <c r="C98" s="112">
        <f t="shared" si="67"/>
        <v>1428193.099384041</v>
      </c>
      <c r="D98" s="112">
        <f t="shared" si="67"/>
        <v>1768820.7720140505</v>
      </c>
      <c r="E98" s="112">
        <f t="shared" si="67"/>
        <v>2100836.1089203991</v>
      </c>
      <c r="F98" s="112">
        <f t="shared" si="67"/>
        <v>2429833.9177166396</v>
      </c>
      <c r="G98" s="112">
        <f t="shared" si="67"/>
        <v>2853050.5710895653</v>
      </c>
      <c r="H98" s="112">
        <f t="shared" si="67"/>
        <v>3189308.4483791762</v>
      </c>
      <c r="I98" s="113"/>
      <c r="J98" s="113"/>
      <c r="K98" s="113"/>
    </row>
    <row r="99" spans="1:11" ht="15.75" customHeight="1">
      <c r="A99" s="79" t="s">
        <v>206</v>
      </c>
      <c r="B99" s="114">
        <f t="shared" ref="B99:H99" si="68">B98*$B$102</f>
        <v>410953.64503400854</v>
      </c>
      <c r="C99" s="114">
        <f t="shared" si="68"/>
        <v>371330.20583985071</v>
      </c>
      <c r="D99" s="114">
        <f t="shared" si="68"/>
        <v>459893.40072365315</v>
      </c>
      <c r="E99" s="114">
        <f t="shared" si="68"/>
        <v>546217.38831930375</v>
      </c>
      <c r="F99" s="114">
        <f t="shared" si="68"/>
        <v>631756.81860632636</v>
      </c>
      <c r="G99" s="114">
        <f t="shared" si="68"/>
        <v>741793.14848328696</v>
      </c>
      <c r="H99" s="114">
        <f t="shared" si="68"/>
        <v>829220.19657858589</v>
      </c>
      <c r="I99" s="113"/>
      <c r="J99" s="113"/>
      <c r="K99" s="113"/>
    </row>
    <row r="100" spans="1:11" ht="15.75" customHeight="1">
      <c r="A100" s="115"/>
      <c r="B100" s="99"/>
      <c r="C100" s="99"/>
      <c r="D100" s="99"/>
      <c r="E100" s="99"/>
      <c r="F100" s="99"/>
      <c r="G100" s="99"/>
      <c r="H100" s="99"/>
      <c r="I100" s="99"/>
      <c r="J100" s="99"/>
      <c r="K100" s="99"/>
    </row>
    <row r="101" spans="1:11" ht="15.75" customHeight="1">
      <c r="A101" s="115"/>
      <c r="B101" s="104"/>
      <c r="C101" s="104"/>
      <c r="D101" s="104"/>
      <c r="E101" s="104"/>
      <c r="F101" s="104"/>
      <c r="G101" s="104"/>
      <c r="H101" s="104"/>
      <c r="I101" s="104"/>
      <c r="J101" s="104"/>
      <c r="K101" s="104"/>
    </row>
    <row r="102" spans="1:11" ht="15.75" customHeight="1">
      <c r="A102" s="116" t="s">
        <v>207</v>
      </c>
      <c r="B102" s="117">
        <v>0.26</v>
      </c>
      <c r="C102" s="104"/>
      <c r="D102" s="104"/>
      <c r="E102" s="104"/>
      <c r="F102" s="104"/>
      <c r="G102" s="104"/>
      <c r="H102" s="104"/>
      <c r="I102" s="104"/>
      <c r="J102" s="104"/>
      <c r="K102" s="104"/>
    </row>
    <row r="103" spans="1:11" ht="15.75" customHeight="1">
      <c r="A103" s="99"/>
      <c r="B103" s="99"/>
      <c r="C103" s="99"/>
      <c r="D103" s="99"/>
      <c r="E103" s="99"/>
      <c r="F103" s="99"/>
      <c r="G103" s="99"/>
      <c r="H103" s="99"/>
      <c r="I103" s="99"/>
      <c r="J103" s="99"/>
      <c r="K103" s="99"/>
    </row>
    <row r="104" spans="1:11" ht="28.5" customHeight="1">
      <c r="A104" s="370" t="s">
        <v>208</v>
      </c>
      <c r="B104" s="335"/>
      <c r="C104" s="335"/>
      <c r="D104" s="335"/>
      <c r="E104" s="335"/>
      <c r="F104" s="335"/>
      <c r="G104" s="335"/>
      <c r="H104" s="335"/>
      <c r="I104" s="104"/>
      <c r="J104" s="104"/>
      <c r="K104" s="104"/>
    </row>
  </sheetData>
  <mergeCells count="8">
    <mergeCell ref="A83:J83"/>
    <mergeCell ref="A92:H92"/>
    <mergeCell ref="A104:H104"/>
    <mergeCell ref="A2:K2"/>
    <mergeCell ref="A28:O28"/>
    <mergeCell ref="C31:I31"/>
    <mergeCell ref="K31:Q31"/>
    <mergeCell ref="A29:Q29"/>
  </mergeCells>
  <pageMargins left="0.7" right="0.7" top="0.75" bottom="0.75" header="0" footer="0"/>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0"/>
  <sheetViews>
    <sheetView workbookViewId="0">
      <selection activeCell="D16" sqref="D16"/>
    </sheetView>
  </sheetViews>
  <sheetFormatPr defaultColWidth="14.44140625" defaultRowHeight="15" customHeight="1"/>
  <cols>
    <col min="1" max="1" width="8.6640625" customWidth="1"/>
    <col min="2" max="2" width="15.44140625" customWidth="1"/>
    <col min="3" max="3" width="28.109375" customWidth="1"/>
    <col min="4" max="4" width="14.6640625" customWidth="1"/>
    <col min="5" max="5" width="25.88671875" customWidth="1"/>
    <col min="6" max="6" width="12.109375" customWidth="1"/>
    <col min="7" max="7" width="27.33203125" customWidth="1"/>
    <col min="8" max="8" width="12.33203125" customWidth="1"/>
    <col min="9" max="9" width="11.6640625" customWidth="1"/>
    <col min="10" max="11" width="8.6640625" customWidth="1"/>
  </cols>
  <sheetData>
    <row r="2" spans="1:7" ht="17.399999999999999">
      <c r="A2" s="351" t="s">
        <v>209</v>
      </c>
      <c r="B2" s="335"/>
      <c r="C2" s="335"/>
      <c r="D2" s="335"/>
      <c r="E2" s="335"/>
      <c r="F2" s="335"/>
      <c r="G2" s="375"/>
    </row>
    <row r="3" spans="1:7" ht="14.4">
      <c r="B3" s="48"/>
      <c r="C3" s="48"/>
      <c r="D3" s="48"/>
      <c r="E3" s="48"/>
      <c r="F3" s="48"/>
      <c r="G3" s="48"/>
    </row>
    <row r="4" spans="1:7" ht="14.4">
      <c r="A4" s="71"/>
      <c r="B4" s="71"/>
      <c r="C4" s="71" t="s">
        <v>210</v>
      </c>
      <c r="D4" s="118">
        <f>'1.Project Cost and MOF'!E20</f>
        <v>3186120</v>
      </c>
      <c r="E4" s="71"/>
      <c r="F4" s="71"/>
      <c r="G4" s="71"/>
    </row>
    <row r="5" spans="1:7" ht="14.4">
      <c r="A5" s="71"/>
      <c r="B5" s="71"/>
      <c r="C5" s="71" t="s">
        <v>211</v>
      </c>
      <c r="D5" s="119">
        <v>0.12</v>
      </c>
      <c r="E5" s="71"/>
      <c r="F5" s="71"/>
      <c r="G5" s="71"/>
    </row>
    <row r="6" spans="1:7" ht="14.4">
      <c r="A6" s="71"/>
      <c r="B6" s="71"/>
      <c r="C6" s="71" t="s">
        <v>212</v>
      </c>
      <c r="D6" s="120">
        <v>7</v>
      </c>
      <c r="E6" s="71"/>
      <c r="F6" s="71"/>
      <c r="G6" s="71"/>
    </row>
    <row r="7" spans="1:7" ht="14.4">
      <c r="A7" s="71"/>
      <c r="B7" s="71"/>
      <c r="C7" s="71" t="s">
        <v>213</v>
      </c>
      <c r="D7" s="120">
        <v>6</v>
      </c>
      <c r="E7" s="71"/>
      <c r="F7" s="71"/>
      <c r="G7" s="71"/>
    </row>
    <row r="8" spans="1:7" ht="14.4">
      <c r="A8" s="71"/>
      <c r="B8" s="71"/>
      <c r="C8" s="71" t="s">
        <v>214</v>
      </c>
      <c r="D8" s="121">
        <f>PMT(D5/12,(D6-(D7/12))*12,-D4)</f>
        <v>59022.487649514936</v>
      </c>
      <c r="E8" s="121"/>
      <c r="F8" s="122"/>
      <c r="G8" s="71"/>
    </row>
    <row r="9" spans="1:7" ht="14.4">
      <c r="A9" s="74" t="s">
        <v>215</v>
      </c>
      <c r="B9" s="123" t="s">
        <v>216</v>
      </c>
      <c r="C9" s="124" t="s">
        <v>217</v>
      </c>
      <c r="D9" s="124" t="s">
        <v>218</v>
      </c>
      <c r="E9" s="124" t="s">
        <v>219</v>
      </c>
      <c r="F9" s="124" t="s">
        <v>214</v>
      </c>
      <c r="G9" s="124" t="s">
        <v>220</v>
      </c>
    </row>
    <row r="10" spans="1:7" ht="14.4">
      <c r="A10" s="76" t="s">
        <v>221</v>
      </c>
      <c r="B10" s="76" t="s">
        <v>222</v>
      </c>
      <c r="C10" s="78">
        <f>D4</f>
        <v>3186120</v>
      </c>
      <c r="D10" s="78">
        <f t="shared" ref="D10:D93" si="0">C10*$D$5/12</f>
        <v>31861.199999999997</v>
      </c>
      <c r="E10" s="78">
        <f t="shared" ref="E10:E93" si="1">F10-D10</f>
        <v>0</v>
      </c>
      <c r="F10" s="78">
        <f t="shared" ref="F10:F15" si="2">D10</f>
        <v>31861.199999999997</v>
      </c>
      <c r="G10" s="78">
        <f t="shared" ref="G10:G93" si="3">C10-E10</f>
        <v>3186120</v>
      </c>
    </row>
    <row r="11" spans="1:7" ht="14.4">
      <c r="A11" s="76"/>
      <c r="B11" s="76" t="s">
        <v>223</v>
      </c>
      <c r="C11" s="78">
        <f t="shared" ref="C11:C93" si="4">G10</f>
        <v>3186120</v>
      </c>
      <c r="D11" s="78">
        <f t="shared" si="0"/>
        <v>31861.199999999997</v>
      </c>
      <c r="E11" s="78">
        <f t="shared" si="1"/>
        <v>0</v>
      </c>
      <c r="F11" s="78">
        <f t="shared" si="2"/>
        <v>31861.199999999997</v>
      </c>
      <c r="G11" s="78">
        <f t="shared" si="3"/>
        <v>3186120</v>
      </c>
    </row>
    <row r="12" spans="1:7" ht="14.4">
      <c r="A12" s="76"/>
      <c r="B12" s="76" t="s">
        <v>224</v>
      </c>
      <c r="C12" s="78">
        <f t="shared" si="4"/>
        <v>3186120</v>
      </c>
      <c r="D12" s="78">
        <f t="shared" si="0"/>
        <v>31861.199999999997</v>
      </c>
      <c r="E12" s="78">
        <f t="shared" si="1"/>
        <v>0</v>
      </c>
      <c r="F12" s="78">
        <f t="shared" si="2"/>
        <v>31861.199999999997</v>
      </c>
      <c r="G12" s="78">
        <f t="shared" si="3"/>
        <v>3186120</v>
      </c>
    </row>
    <row r="13" spans="1:7" ht="14.4">
      <c r="A13" s="76"/>
      <c r="B13" s="76" t="s">
        <v>225</v>
      </c>
      <c r="C13" s="78">
        <f t="shared" si="4"/>
        <v>3186120</v>
      </c>
      <c r="D13" s="78">
        <f t="shared" si="0"/>
        <v>31861.199999999997</v>
      </c>
      <c r="E13" s="78">
        <f t="shared" si="1"/>
        <v>0</v>
      </c>
      <c r="F13" s="78">
        <f t="shared" si="2"/>
        <v>31861.199999999997</v>
      </c>
      <c r="G13" s="78">
        <f t="shared" si="3"/>
        <v>3186120</v>
      </c>
    </row>
    <row r="14" spans="1:7" ht="14.4">
      <c r="A14" s="76"/>
      <c r="B14" s="76" t="s">
        <v>226</v>
      </c>
      <c r="C14" s="78">
        <f t="shared" si="4"/>
        <v>3186120</v>
      </c>
      <c r="D14" s="78">
        <f t="shared" si="0"/>
        <v>31861.199999999997</v>
      </c>
      <c r="E14" s="78">
        <f t="shared" si="1"/>
        <v>0</v>
      </c>
      <c r="F14" s="78">
        <f t="shared" si="2"/>
        <v>31861.199999999997</v>
      </c>
      <c r="G14" s="78">
        <f t="shared" si="3"/>
        <v>3186120</v>
      </c>
    </row>
    <row r="15" spans="1:7" ht="14.4">
      <c r="A15" s="76"/>
      <c r="B15" s="76" t="s">
        <v>227</v>
      </c>
      <c r="C15" s="78">
        <f t="shared" si="4"/>
        <v>3186120</v>
      </c>
      <c r="D15" s="78">
        <f t="shared" si="0"/>
        <v>31861.199999999997</v>
      </c>
      <c r="E15" s="78">
        <f t="shared" si="1"/>
        <v>0</v>
      </c>
      <c r="F15" s="78">
        <f t="shared" si="2"/>
        <v>31861.199999999997</v>
      </c>
      <c r="G15" s="78">
        <f t="shared" si="3"/>
        <v>3186120</v>
      </c>
    </row>
    <row r="16" spans="1:7" ht="14.4">
      <c r="A16" s="76"/>
      <c r="B16" s="76" t="s">
        <v>228</v>
      </c>
      <c r="C16" s="78">
        <f t="shared" si="4"/>
        <v>3186120</v>
      </c>
      <c r="D16" s="78">
        <f t="shared" si="0"/>
        <v>31861.199999999997</v>
      </c>
      <c r="E16" s="78">
        <f t="shared" si="1"/>
        <v>27161.287649514939</v>
      </c>
      <c r="F16" s="78">
        <f t="shared" ref="F16:F93" si="5">$D$8</f>
        <v>59022.487649514936</v>
      </c>
      <c r="G16" s="78">
        <f t="shared" si="3"/>
        <v>3158958.7123504849</v>
      </c>
    </row>
    <row r="17" spans="1:9" ht="14.4">
      <c r="A17" s="76"/>
      <c r="B17" s="76" t="s">
        <v>229</v>
      </c>
      <c r="C17" s="78">
        <f t="shared" si="4"/>
        <v>3158958.7123504849</v>
      </c>
      <c r="D17" s="78">
        <f t="shared" si="0"/>
        <v>31589.587123504851</v>
      </c>
      <c r="E17" s="78">
        <f t="shared" si="1"/>
        <v>27432.900526010086</v>
      </c>
      <c r="F17" s="78">
        <f t="shared" si="5"/>
        <v>59022.487649514936</v>
      </c>
      <c r="G17" s="78">
        <f t="shared" si="3"/>
        <v>3131525.8118244749</v>
      </c>
    </row>
    <row r="18" spans="1:9" ht="14.4">
      <c r="A18" s="76"/>
      <c r="B18" s="76" t="s">
        <v>230</v>
      </c>
      <c r="C18" s="78">
        <f t="shared" si="4"/>
        <v>3131525.8118244749</v>
      </c>
      <c r="D18" s="78">
        <f t="shared" si="0"/>
        <v>31315.258118244747</v>
      </c>
      <c r="E18" s="78">
        <f t="shared" si="1"/>
        <v>27707.22953127019</v>
      </c>
      <c r="F18" s="78">
        <f t="shared" si="5"/>
        <v>59022.487649514936</v>
      </c>
      <c r="G18" s="78">
        <f t="shared" si="3"/>
        <v>3103818.582293205</v>
      </c>
    </row>
    <row r="19" spans="1:9" ht="14.4">
      <c r="A19" s="76"/>
      <c r="B19" s="76" t="s">
        <v>231</v>
      </c>
      <c r="C19" s="78">
        <f t="shared" si="4"/>
        <v>3103818.582293205</v>
      </c>
      <c r="D19" s="78">
        <f t="shared" si="0"/>
        <v>31038.18582293205</v>
      </c>
      <c r="E19" s="78">
        <f t="shared" si="1"/>
        <v>27984.301826582887</v>
      </c>
      <c r="F19" s="78">
        <f t="shared" si="5"/>
        <v>59022.487649514936</v>
      </c>
      <c r="G19" s="78">
        <f t="shared" si="3"/>
        <v>3075834.2804666222</v>
      </c>
    </row>
    <row r="20" spans="1:9" ht="14.4">
      <c r="A20" s="76"/>
      <c r="B20" s="76" t="s">
        <v>232</v>
      </c>
      <c r="C20" s="78">
        <f t="shared" si="4"/>
        <v>3075834.2804666222</v>
      </c>
      <c r="D20" s="78">
        <f t="shared" si="0"/>
        <v>30758.342804666219</v>
      </c>
      <c r="E20" s="78">
        <f t="shared" si="1"/>
        <v>28264.144844848717</v>
      </c>
      <c r="F20" s="78">
        <f t="shared" si="5"/>
        <v>59022.487649514936</v>
      </c>
      <c r="G20" s="78">
        <f t="shared" si="3"/>
        <v>3047570.1356217735</v>
      </c>
    </row>
    <row r="21" spans="1:9" ht="15.75" customHeight="1">
      <c r="A21" s="76"/>
      <c r="B21" s="76" t="s">
        <v>233</v>
      </c>
      <c r="C21" s="78">
        <f t="shared" si="4"/>
        <v>3047570.1356217735</v>
      </c>
      <c r="D21" s="78">
        <f t="shared" si="0"/>
        <v>30475.701356217734</v>
      </c>
      <c r="E21" s="78">
        <f t="shared" si="1"/>
        <v>28546.786293297202</v>
      </c>
      <c r="F21" s="78">
        <f t="shared" si="5"/>
        <v>59022.487649514936</v>
      </c>
      <c r="G21" s="78">
        <f t="shared" si="3"/>
        <v>3019023.3493284765</v>
      </c>
      <c r="H21" s="125"/>
      <c r="I21" s="125"/>
    </row>
    <row r="22" spans="1:9" ht="15.75" customHeight="1">
      <c r="A22" s="76" t="s">
        <v>234</v>
      </c>
      <c r="B22" s="76" t="s">
        <v>235</v>
      </c>
      <c r="C22" s="78">
        <f t="shared" si="4"/>
        <v>3019023.3493284765</v>
      </c>
      <c r="D22" s="78">
        <f t="shared" si="0"/>
        <v>30190.233493284763</v>
      </c>
      <c r="E22" s="78">
        <f t="shared" si="1"/>
        <v>28832.254156230174</v>
      </c>
      <c r="F22" s="78">
        <f t="shared" si="5"/>
        <v>59022.487649514936</v>
      </c>
      <c r="G22" s="78">
        <f t="shared" si="3"/>
        <v>2990191.0951722465</v>
      </c>
    </row>
    <row r="23" spans="1:9" ht="15.75" customHeight="1">
      <c r="A23" s="76"/>
      <c r="B23" s="76" t="s">
        <v>236</v>
      </c>
      <c r="C23" s="78">
        <f t="shared" si="4"/>
        <v>2990191.0951722465</v>
      </c>
      <c r="D23" s="78">
        <f t="shared" si="0"/>
        <v>29901.910951722461</v>
      </c>
      <c r="E23" s="78">
        <f t="shared" si="1"/>
        <v>29120.576697792476</v>
      </c>
      <c r="F23" s="78">
        <f t="shared" si="5"/>
        <v>59022.487649514936</v>
      </c>
      <c r="G23" s="78">
        <f t="shared" si="3"/>
        <v>2961070.5184744541</v>
      </c>
    </row>
    <row r="24" spans="1:9" ht="15.75" customHeight="1">
      <c r="A24" s="76"/>
      <c r="B24" s="76" t="s">
        <v>237</v>
      </c>
      <c r="C24" s="78">
        <f t="shared" si="4"/>
        <v>2961070.5184744541</v>
      </c>
      <c r="D24" s="78">
        <f t="shared" si="0"/>
        <v>29610.70518474454</v>
      </c>
      <c r="E24" s="78">
        <f t="shared" si="1"/>
        <v>29411.782464770396</v>
      </c>
      <c r="F24" s="78">
        <f t="shared" si="5"/>
        <v>59022.487649514936</v>
      </c>
      <c r="G24" s="78">
        <f t="shared" si="3"/>
        <v>2931658.7360096835</v>
      </c>
    </row>
    <row r="25" spans="1:9" ht="15.75" customHeight="1">
      <c r="A25" s="76"/>
      <c r="B25" s="76" t="s">
        <v>238</v>
      </c>
      <c r="C25" s="78">
        <f t="shared" si="4"/>
        <v>2931658.7360096835</v>
      </c>
      <c r="D25" s="78">
        <f t="shared" si="0"/>
        <v>29316.587360096833</v>
      </c>
      <c r="E25" s="78">
        <f t="shared" si="1"/>
        <v>29705.900289418103</v>
      </c>
      <c r="F25" s="78">
        <f t="shared" si="5"/>
        <v>59022.487649514936</v>
      </c>
      <c r="G25" s="78">
        <f t="shared" si="3"/>
        <v>2901952.8357202653</v>
      </c>
    </row>
    <row r="26" spans="1:9" ht="15.75" customHeight="1">
      <c r="A26" s="76"/>
      <c r="B26" s="76" t="s">
        <v>239</v>
      </c>
      <c r="C26" s="78">
        <f t="shared" si="4"/>
        <v>2901952.8357202653</v>
      </c>
      <c r="D26" s="78">
        <f t="shared" si="0"/>
        <v>29019.528357202653</v>
      </c>
      <c r="E26" s="78">
        <f t="shared" si="1"/>
        <v>30002.959292312284</v>
      </c>
      <c r="F26" s="78">
        <f t="shared" si="5"/>
        <v>59022.487649514936</v>
      </c>
      <c r="G26" s="78">
        <f t="shared" si="3"/>
        <v>2871949.8764279531</v>
      </c>
    </row>
    <row r="27" spans="1:9" ht="15.75" customHeight="1">
      <c r="A27" s="76"/>
      <c r="B27" s="76" t="s">
        <v>240</v>
      </c>
      <c r="C27" s="78">
        <f t="shared" si="4"/>
        <v>2871949.8764279531</v>
      </c>
      <c r="D27" s="78">
        <f t="shared" si="0"/>
        <v>28719.498764279531</v>
      </c>
      <c r="E27" s="78">
        <f t="shared" si="1"/>
        <v>30302.988885235405</v>
      </c>
      <c r="F27" s="78">
        <f t="shared" si="5"/>
        <v>59022.487649514936</v>
      </c>
      <c r="G27" s="78">
        <f t="shared" si="3"/>
        <v>2841646.8875427176</v>
      </c>
    </row>
    <row r="28" spans="1:9" ht="15.75" customHeight="1">
      <c r="A28" s="76"/>
      <c r="B28" s="76" t="s">
        <v>241</v>
      </c>
      <c r="C28" s="78">
        <f t="shared" si="4"/>
        <v>2841646.8875427176</v>
      </c>
      <c r="D28" s="78">
        <f t="shared" si="0"/>
        <v>28416.468875427177</v>
      </c>
      <c r="E28" s="78">
        <f t="shared" si="1"/>
        <v>30606.018774087759</v>
      </c>
      <c r="F28" s="78">
        <f t="shared" si="5"/>
        <v>59022.487649514936</v>
      </c>
      <c r="G28" s="78">
        <f t="shared" si="3"/>
        <v>2811040.8687686301</v>
      </c>
    </row>
    <row r="29" spans="1:9" ht="15.75" customHeight="1">
      <c r="A29" s="76"/>
      <c r="B29" s="76" t="s">
        <v>242</v>
      </c>
      <c r="C29" s="78">
        <f t="shared" si="4"/>
        <v>2811040.8687686301</v>
      </c>
      <c r="D29" s="78">
        <f t="shared" si="0"/>
        <v>28110.4086876863</v>
      </c>
      <c r="E29" s="78">
        <f t="shared" si="1"/>
        <v>30912.078961828636</v>
      </c>
      <c r="F29" s="78">
        <f t="shared" si="5"/>
        <v>59022.487649514936</v>
      </c>
      <c r="G29" s="78">
        <f t="shared" si="3"/>
        <v>2780128.7898068014</v>
      </c>
    </row>
    <row r="30" spans="1:9" ht="15.75" customHeight="1">
      <c r="A30" s="76"/>
      <c r="B30" s="76" t="s">
        <v>243</v>
      </c>
      <c r="C30" s="78">
        <f t="shared" si="4"/>
        <v>2780128.7898068014</v>
      </c>
      <c r="D30" s="78">
        <f t="shared" si="0"/>
        <v>27801.287898068011</v>
      </c>
      <c r="E30" s="78">
        <f t="shared" si="1"/>
        <v>31221.199751446926</v>
      </c>
      <c r="F30" s="78">
        <f t="shared" si="5"/>
        <v>59022.487649514936</v>
      </c>
      <c r="G30" s="78">
        <f t="shared" si="3"/>
        <v>2748907.5900553544</v>
      </c>
    </row>
    <row r="31" spans="1:9" ht="15.75" customHeight="1">
      <c r="A31" s="76"/>
      <c r="B31" s="76" t="s">
        <v>244</v>
      </c>
      <c r="C31" s="78">
        <f t="shared" si="4"/>
        <v>2748907.5900553544</v>
      </c>
      <c r="D31" s="78">
        <f t="shared" si="0"/>
        <v>27489.07590055354</v>
      </c>
      <c r="E31" s="78">
        <f t="shared" si="1"/>
        <v>31533.411748961396</v>
      </c>
      <c r="F31" s="78">
        <f t="shared" si="5"/>
        <v>59022.487649514936</v>
      </c>
      <c r="G31" s="78">
        <f t="shared" si="3"/>
        <v>2717374.1783063929</v>
      </c>
    </row>
    <row r="32" spans="1:9" ht="15.75" customHeight="1">
      <c r="A32" s="76"/>
      <c r="B32" s="76" t="s">
        <v>245</v>
      </c>
      <c r="C32" s="78">
        <f t="shared" si="4"/>
        <v>2717374.1783063929</v>
      </c>
      <c r="D32" s="78">
        <f t="shared" si="0"/>
        <v>27173.741783063928</v>
      </c>
      <c r="E32" s="78">
        <f t="shared" si="1"/>
        <v>31848.745866451009</v>
      </c>
      <c r="F32" s="78">
        <f t="shared" si="5"/>
        <v>59022.487649514936</v>
      </c>
      <c r="G32" s="78">
        <f t="shared" si="3"/>
        <v>2685525.4324399419</v>
      </c>
    </row>
    <row r="33" spans="1:9" ht="15.75" customHeight="1">
      <c r="A33" s="76"/>
      <c r="B33" s="76" t="s">
        <v>246</v>
      </c>
      <c r="C33" s="78">
        <f t="shared" si="4"/>
        <v>2685525.4324399419</v>
      </c>
      <c r="D33" s="78">
        <f t="shared" si="0"/>
        <v>26855.254324399419</v>
      </c>
      <c r="E33" s="78">
        <f t="shared" si="1"/>
        <v>32167.233325115518</v>
      </c>
      <c r="F33" s="78">
        <f t="shared" si="5"/>
        <v>59022.487649514936</v>
      </c>
      <c r="G33" s="78">
        <f t="shared" si="3"/>
        <v>2653358.1991148265</v>
      </c>
      <c r="H33" s="125"/>
      <c r="I33" s="125"/>
    </row>
    <row r="34" spans="1:9" ht="15.75" customHeight="1">
      <c r="A34" s="76" t="s">
        <v>247</v>
      </c>
      <c r="B34" s="76" t="s">
        <v>248</v>
      </c>
      <c r="C34" s="78">
        <f t="shared" si="4"/>
        <v>2653358.1991148265</v>
      </c>
      <c r="D34" s="78">
        <f t="shared" si="0"/>
        <v>26533.581991148265</v>
      </c>
      <c r="E34" s="78">
        <f t="shared" si="1"/>
        <v>32488.905658366672</v>
      </c>
      <c r="F34" s="78">
        <f t="shared" si="5"/>
        <v>59022.487649514936</v>
      </c>
      <c r="G34" s="78">
        <f t="shared" si="3"/>
        <v>2620869.2934564599</v>
      </c>
    </row>
    <row r="35" spans="1:9" ht="15.75" customHeight="1">
      <c r="A35" s="76"/>
      <c r="B35" s="76" t="s">
        <v>249</v>
      </c>
      <c r="C35" s="78">
        <f t="shared" si="4"/>
        <v>2620869.2934564599</v>
      </c>
      <c r="D35" s="78">
        <f t="shared" si="0"/>
        <v>26208.692934564595</v>
      </c>
      <c r="E35" s="78">
        <f t="shared" si="1"/>
        <v>32813.794714950345</v>
      </c>
      <c r="F35" s="78">
        <f t="shared" si="5"/>
        <v>59022.487649514936</v>
      </c>
      <c r="G35" s="78">
        <f t="shared" si="3"/>
        <v>2588055.4987415094</v>
      </c>
    </row>
    <row r="36" spans="1:9" ht="15.75" customHeight="1">
      <c r="A36" s="76"/>
      <c r="B36" s="76" t="s">
        <v>250</v>
      </c>
      <c r="C36" s="78">
        <f t="shared" si="4"/>
        <v>2588055.4987415094</v>
      </c>
      <c r="D36" s="78">
        <f t="shared" si="0"/>
        <v>25880.554987415093</v>
      </c>
      <c r="E36" s="78">
        <f t="shared" si="1"/>
        <v>33141.932662099847</v>
      </c>
      <c r="F36" s="78">
        <f t="shared" si="5"/>
        <v>59022.487649514936</v>
      </c>
      <c r="G36" s="78">
        <f t="shared" si="3"/>
        <v>2554913.5660794093</v>
      </c>
    </row>
    <row r="37" spans="1:9" ht="15.75" customHeight="1">
      <c r="A37" s="76"/>
      <c r="B37" s="76" t="s">
        <v>251</v>
      </c>
      <c r="C37" s="78">
        <f t="shared" si="4"/>
        <v>2554913.5660794093</v>
      </c>
      <c r="D37" s="78">
        <f t="shared" si="0"/>
        <v>25549.135660794094</v>
      </c>
      <c r="E37" s="78">
        <f t="shared" si="1"/>
        <v>33473.351988720839</v>
      </c>
      <c r="F37" s="78">
        <f t="shared" si="5"/>
        <v>59022.487649514936</v>
      </c>
      <c r="G37" s="78">
        <f t="shared" si="3"/>
        <v>2521440.2140906886</v>
      </c>
    </row>
    <row r="38" spans="1:9" ht="15.75" customHeight="1">
      <c r="A38" s="76"/>
      <c r="B38" s="76" t="s">
        <v>252</v>
      </c>
      <c r="C38" s="78">
        <f t="shared" si="4"/>
        <v>2521440.2140906886</v>
      </c>
      <c r="D38" s="78">
        <f t="shared" si="0"/>
        <v>25214.402140906885</v>
      </c>
      <c r="E38" s="78">
        <f t="shared" si="1"/>
        <v>33808.085508608056</v>
      </c>
      <c r="F38" s="78">
        <f t="shared" si="5"/>
        <v>59022.487649514936</v>
      </c>
      <c r="G38" s="78">
        <f t="shared" si="3"/>
        <v>2487632.1285820804</v>
      </c>
    </row>
    <row r="39" spans="1:9" ht="15.75" customHeight="1">
      <c r="A39" s="76"/>
      <c r="B39" s="76" t="s">
        <v>253</v>
      </c>
      <c r="C39" s="78">
        <f t="shared" si="4"/>
        <v>2487632.1285820804</v>
      </c>
      <c r="D39" s="78">
        <f t="shared" si="0"/>
        <v>24876.321285820803</v>
      </c>
      <c r="E39" s="78">
        <f t="shared" si="1"/>
        <v>34146.166363694138</v>
      </c>
      <c r="F39" s="78">
        <f t="shared" si="5"/>
        <v>59022.487649514936</v>
      </c>
      <c r="G39" s="78">
        <f t="shared" si="3"/>
        <v>2453485.9622183861</v>
      </c>
    </row>
    <row r="40" spans="1:9" ht="15.75" customHeight="1">
      <c r="A40" s="76"/>
      <c r="B40" s="76" t="s">
        <v>254</v>
      </c>
      <c r="C40" s="78">
        <f t="shared" si="4"/>
        <v>2453485.9622183861</v>
      </c>
      <c r="D40" s="78">
        <f t="shared" si="0"/>
        <v>24534.859622183863</v>
      </c>
      <c r="E40" s="78">
        <f t="shared" si="1"/>
        <v>34487.628027331069</v>
      </c>
      <c r="F40" s="78">
        <f t="shared" si="5"/>
        <v>59022.487649514936</v>
      </c>
      <c r="G40" s="78">
        <f t="shared" si="3"/>
        <v>2418998.334191055</v>
      </c>
    </row>
    <row r="41" spans="1:9" ht="15.75" customHeight="1">
      <c r="A41" s="76"/>
      <c r="B41" s="76" t="s">
        <v>255</v>
      </c>
      <c r="C41" s="78">
        <f t="shared" si="4"/>
        <v>2418998.334191055</v>
      </c>
      <c r="D41" s="78">
        <f t="shared" si="0"/>
        <v>24189.983341910553</v>
      </c>
      <c r="E41" s="78">
        <f t="shared" si="1"/>
        <v>34832.50430760438</v>
      </c>
      <c r="F41" s="78">
        <f t="shared" si="5"/>
        <v>59022.487649514936</v>
      </c>
      <c r="G41" s="78">
        <f t="shared" si="3"/>
        <v>2384165.8298834506</v>
      </c>
    </row>
    <row r="42" spans="1:9" ht="15.75" customHeight="1">
      <c r="A42" s="76"/>
      <c r="B42" s="76" t="s">
        <v>256</v>
      </c>
      <c r="C42" s="78">
        <f t="shared" si="4"/>
        <v>2384165.8298834506</v>
      </c>
      <c r="D42" s="78">
        <f t="shared" si="0"/>
        <v>23841.658298834504</v>
      </c>
      <c r="E42" s="78">
        <f t="shared" si="1"/>
        <v>35180.829350680433</v>
      </c>
      <c r="F42" s="78">
        <f t="shared" si="5"/>
        <v>59022.487649514936</v>
      </c>
      <c r="G42" s="78">
        <f t="shared" si="3"/>
        <v>2348985.0005327701</v>
      </c>
    </row>
    <row r="43" spans="1:9" ht="15.75" customHeight="1">
      <c r="A43" s="76"/>
      <c r="B43" s="76" t="s">
        <v>257</v>
      </c>
      <c r="C43" s="78">
        <f t="shared" si="4"/>
        <v>2348985.0005327701</v>
      </c>
      <c r="D43" s="78">
        <f t="shared" si="0"/>
        <v>23489.850005327698</v>
      </c>
      <c r="E43" s="78">
        <f t="shared" si="1"/>
        <v>35532.637644187242</v>
      </c>
      <c r="F43" s="78">
        <f t="shared" si="5"/>
        <v>59022.487649514936</v>
      </c>
      <c r="G43" s="78">
        <f t="shared" si="3"/>
        <v>2313452.362888583</v>
      </c>
    </row>
    <row r="44" spans="1:9" ht="15.75" customHeight="1">
      <c r="A44" s="76"/>
      <c r="B44" s="76" t="s">
        <v>258</v>
      </c>
      <c r="C44" s="78">
        <f t="shared" si="4"/>
        <v>2313452.362888583</v>
      </c>
      <c r="D44" s="78">
        <f t="shared" si="0"/>
        <v>23134.523628885829</v>
      </c>
      <c r="E44" s="78">
        <f t="shared" si="1"/>
        <v>35887.964020629108</v>
      </c>
      <c r="F44" s="78">
        <f t="shared" si="5"/>
        <v>59022.487649514936</v>
      </c>
      <c r="G44" s="78">
        <f t="shared" si="3"/>
        <v>2277564.398867954</v>
      </c>
    </row>
    <row r="45" spans="1:9" ht="15.75" customHeight="1">
      <c r="A45" s="76"/>
      <c r="B45" s="76" t="s">
        <v>259</v>
      </c>
      <c r="C45" s="78">
        <f t="shared" si="4"/>
        <v>2277564.398867954</v>
      </c>
      <c r="D45" s="78">
        <f t="shared" si="0"/>
        <v>22775.643988679542</v>
      </c>
      <c r="E45" s="78">
        <f t="shared" si="1"/>
        <v>36246.843660835395</v>
      </c>
      <c r="F45" s="78">
        <f t="shared" si="5"/>
        <v>59022.487649514936</v>
      </c>
      <c r="G45" s="78">
        <f t="shared" si="3"/>
        <v>2241317.5552071189</v>
      </c>
      <c r="H45" s="125"/>
      <c r="I45" s="125"/>
    </row>
    <row r="46" spans="1:9" ht="15.75" customHeight="1">
      <c r="A46" s="76" t="s">
        <v>260</v>
      </c>
      <c r="B46" s="76" t="s">
        <v>261</v>
      </c>
      <c r="C46" s="78">
        <f t="shared" si="4"/>
        <v>2241317.5552071189</v>
      </c>
      <c r="D46" s="78">
        <f t="shared" si="0"/>
        <v>22413.175552071189</v>
      </c>
      <c r="E46" s="78">
        <f t="shared" si="1"/>
        <v>36609.312097443748</v>
      </c>
      <c r="F46" s="78">
        <f t="shared" si="5"/>
        <v>59022.487649514936</v>
      </c>
      <c r="G46" s="78">
        <f t="shared" si="3"/>
        <v>2204708.2431096751</v>
      </c>
    </row>
    <row r="47" spans="1:9" ht="15.75" customHeight="1">
      <c r="A47" s="76"/>
      <c r="B47" s="76" t="s">
        <v>262</v>
      </c>
      <c r="C47" s="78">
        <f t="shared" si="4"/>
        <v>2204708.2431096751</v>
      </c>
      <c r="D47" s="78">
        <f t="shared" si="0"/>
        <v>22047.082431096747</v>
      </c>
      <c r="E47" s="78">
        <f t="shared" si="1"/>
        <v>36975.405218418193</v>
      </c>
      <c r="F47" s="78">
        <f t="shared" si="5"/>
        <v>59022.487649514936</v>
      </c>
      <c r="G47" s="78">
        <f t="shared" si="3"/>
        <v>2167732.8378912569</v>
      </c>
    </row>
    <row r="48" spans="1:9" ht="15.75" customHeight="1">
      <c r="A48" s="76"/>
      <c r="B48" s="76" t="s">
        <v>263</v>
      </c>
      <c r="C48" s="78">
        <f t="shared" si="4"/>
        <v>2167732.8378912569</v>
      </c>
      <c r="D48" s="78">
        <f t="shared" si="0"/>
        <v>21677.328378912567</v>
      </c>
      <c r="E48" s="78">
        <f t="shared" si="1"/>
        <v>37345.159270602366</v>
      </c>
      <c r="F48" s="78">
        <f t="shared" si="5"/>
        <v>59022.487649514936</v>
      </c>
      <c r="G48" s="78">
        <f t="shared" si="3"/>
        <v>2130387.6786206546</v>
      </c>
    </row>
    <row r="49" spans="1:9" ht="15.75" customHeight="1">
      <c r="A49" s="76"/>
      <c r="B49" s="76" t="s">
        <v>264</v>
      </c>
      <c r="C49" s="78">
        <f t="shared" si="4"/>
        <v>2130387.6786206546</v>
      </c>
      <c r="D49" s="78">
        <f t="shared" si="0"/>
        <v>21303.876786206547</v>
      </c>
      <c r="E49" s="78">
        <f t="shared" si="1"/>
        <v>37718.610863308393</v>
      </c>
      <c r="F49" s="78">
        <f t="shared" si="5"/>
        <v>59022.487649514936</v>
      </c>
      <c r="G49" s="78">
        <f t="shared" si="3"/>
        <v>2092669.0677573462</v>
      </c>
    </row>
    <row r="50" spans="1:9" ht="15.75" customHeight="1">
      <c r="A50" s="76"/>
      <c r="B50" s="76" t="s">
        <v>265</v>
      </c>
      <c r="C50" s="78">
        <f t="shared" si="4"/>
        <v>2092669.0677573462</v>
      </c>
      <c r="D50" s="78">
        <f t="shared" si="0"/>
        <v>20926.690677573461</v>
      </c>
      <c r="E50" s="78">
        <f t="shared" si="1"/>
        <v>38095.796971941476</v>
      </c>
      <c r="F50" s="78">
        <f t="shared" si="5"/>
        <v>59022.487649514936</v>
      </c>
      <c r="G50" s="78">
        <f t="shared" si="3"/>
        <v>2054573.2707854048</v>
      </c>
    </row>
    <row r="51" spans="1:9" ht="15.75" customHeight="1">
      <c r="A51" s="76"/>
      <c r="B51" s="76" t="s">
        <v>266</v>
      </c>
      <c r="C51" s="78">
        <f t="shared" si="4"/>
        <v>2054573.2707854048</v>
      </c>
      <c r="D51" s="78">
        <f t="shared" si="0"/>
        <v>20545.732707854047</v>
      </c>
      <c r="E51" s="78">
        <f t="shared" si="1"/>
        <v>38476.754941660889</v>
      </c>
      <c r="F51" s="78">
        <f t="shared" si="5"/>
        <v>59022.487649514936</v>
      </c>
      <c r="G51" s="78">
        <f t="shared" si="3"/>
        <v>2016096.5158437439</v>
      </c>
    </row>
    <row r="52" spans="1:9" ht="15.75" customHeight="1">
      <c r="A52" s="76"/>
      <c r="B52" s="76" t="s">
        <v>267</v>
      </c>
      <c r="C52" s="78">
        <f t="shared" si="4"/>
        <v>2016096.5158437439</v>
      </c>
      <c r="D52" s="78">
        <f t="shared" si="0"/>
        <v>20160.965158437441</v>
      </c>
      <c r="E52" s="78">
        <f t="shared" si="1"/>
        <v>38861.5224910775</v>
      </c>
      <c r="F52" s="78">
        <f t="shared" si="5"/>
        <v>59022.487649514936</v>
      </c>
      <c r="G52" s="78">
        <f t="shared" si="3"/>
        <v>1977234.9933526665</v>
      </c>
    </row>
    <row r="53" spans="1:9" ht="15.75" customHeight="1">
      <c r="A53" s="76"/>
      <c r="B53" s="76" t="s">
        <v>268</v>
      </c>
      <c r="C53" s="78">
        <f t="shared" si="4"/>
        <v>1977234.9933526665</v>
      </c>
      <c r="D53" s="78">
        <f t="shared" si="0"/>
        <v>19772.349933526664</v>
      </c>
      <c r="E53" s="78">
        <f t="shared" si="1"/>
        <v>39250.137715988269</v>
      </c>
      <c r="F53" s="78">
        <f t="shared" si="5"/>
        <v>59022.487649514936</v>
      </c>
      <c r="G53" s="78">
        <f t="shared" si="3"/>
        <v>1937984.8556366782</v>
      </c>
    </row>
    <row r="54" spans="1:9" ht="15.75" customHeight="1">
      <c r="A54" s="76"/>
      <c r="B54" s="76" t="s">
        <v>269</v>
      </c>
      <c r="C54" s="78">
        <f t="shared" si="4"/>
        <v>1937984.8556366782</v>
      </c>
      <c r="D54" s="78">
        <f t="shared" si="0"/>
        <v>19379.848556366782</v>
      </c>
      <c r="E54" s="78">
        <f t="shared" si="1"/>
        <v>39642.639093148158</v>
      </c>
      <c r="F54" s="78">
        <f t="shared" si="5"/>
        <v>59022.487649514936</v>
      </c>
      <c r="G54" s="78">
        <f t="shared" si="3"/>
        <v>1898342.2165435301</v>
      </c>
    </row>
    <row r="55" spans="1:9" ht="15.75" customHeight="1">
      <c r="A55" s="76"/>
      <c r="B55" s="76" t="s">
        <v>270</v>
      </c>
      <c r="C55" s="78">
        <f t="shared" si="4"/>
        <v>1898342.2165435301</v>
      </c>
      <c r="D55" s="78">
        <f t="shared" si="0"/>
        <v>18983.422165435299</v>
      </c>
      <c r="E55" s="78">
        <f t="shared" si="1"/>
        <v>40039.065484079634</v>
      </c>
      <c r="F55" s="78">
        <f t="shared" si="5"/>
        <v>59022.487649514936</v>
      </c>
      <c r="G55" s="78">
        <f t="shared" si="3"/>
        <v>1858303.1510594506</v>
      </c>
    </row>
    <row r="56" spans="1:9" ht="15.75" customHeight="1">
      <c r="A56" s="76"/>
      <c r="B56" s="76" t="s">
        <v>271</v>
      </c>
      <c r="C56" s="78">
        <f t="shared" si="4"/>
        <v>1858303.1510594506</v>
      </c>
      <c r="D56" s="78">
        <f t="shared" si="0"/>
        <v>18583.031510594505</v>
      </c>
      <c r="E56" s="78">
        <f t="shared" si="1"/>
        <v>40439.456138920432</v>
      </c>
      <c r="F56" s="78">
        <f t="shared" si="5"/>
        <v>59022.487649514936</v>
      </c>
      <c r="G56" s="78">
        <f t="shared" si="3"/>
        <v>1817863.6949205301</v>
      </c>
    </row>
    <row r="57" spans="1:9" ht="15.75" customHeight="1">
      <c r="A57" s="76"/>
      <c r="B57" s="76" t="s">
        <v>272</v>
      </c>
      <c r="C57" s="78">
        <f t="shared" si="4"/>
        <v>1817863.6949205301</v>
      </c>
      <c r="D57" s="78">
        <f t="shared" si="0"/>
        <v>18178.636949205302</v>
      </c>
      <c r="E57" s="78">
        <f t="shared" si="1"/>
        <v>40843.850700309631</v>
      </c>
      <c r="F57" s="78">
        <f t="shared" si="5"/>
        <v>59022.487649514936</v>
      </c>
      <c r="G57" s="78">
        <f t="shared" si="3"/>
        <v>1777019.8442202203</v>
      </c>
      <c r="H57" s="125"/>
      <c r="I57" s="125"/>
    </row>
    <row r="58" spans="1:9" ht="15.75" customHeight="1">
      <c r="A58" s="76" t="s">
        <v>273</v>
      </c>
      <c r="B58" s="76" t="s">
        <v>274</v>
      </c>
      <c r="C58" s="78">
        <f t="shared" si="4"/>
        <v>1777019.8442202203</v>
      </c>
      <c r="D58" s="78">
        <f t="shared" si="0"/>
        <v>17770.198442202203</v>
      </c>
      <c r="E58" s="78">
        <f t="shared" si="1"/>
        <v>41252.28920731273</v>
      </c>
      <c r="F58" s="78">
        <f t="shared" si="5"/>
        <v>59022.487649514936</v>
      </c>
      <c r="G58" s="78">
        <f t="shared" si="3"/>
        <v>1735767.5550129076</v>
      </c>
    </row>
    <row r="59" spans="1:9" ht="15.75" customHeight="1">
      <c r="A59" s="76"/>
      <c r="B59" s="76" t="s">
        <v>275</v>
      </c>
      <c r="C59" s="78">
        <f t="shared" si="4"/>
        <v>1735767.5550129076</v>
      </c>
      <c r="D59" s="78">
        <f t="shared" si="0"/>
        <v>17357.675550129075</v>
      </c>
      <c r="E59" s="78">
        <f t="shared" si="1"/>
        <v>41664.812099385861</v>
      </c>
      <c r="F59" s="78">
        <f t="shared" si="5"/>
        <v>59022.487649514936</v>
      </c>
      <c r="G59" s="78">
        <f t="shared" si="3"/>
        <v>1694102.7429135218</v>
      </c>
    </row>
    <row r="60" spans="1:9" ht="15.75" customHeight="1">
      <c r="A60" s="76"/>
      <c r="B60" s="76" t="s">
        <v>276</v>
      </c>
      <c r="C60" s="78">
        <f t="shared" si="4"/>
        <v>1694102.7429135218</v>
      </c>
      <c r="D60" s="78">
        <f t="shared" si="0"/>
        <v>16941.027429135218</v>
      </c>
      <c r="E60" s="78">
        <f t="shared" si="1"/>
        <v>42081.460220379719</v>
      </c>
      <c r="F60" s="78">
        <f t="shared" si="5"/>
        <v>59022.487649514936</v>
      </c>
      <c r="G60" s="78">
        <f t="shared" si="3"/>
        <v>1652021.2826931421</v>
      </c>
    </row>
    <row r="61" spans="1:9" ht="15.75" customHeight="1">
      <c r="A61" s="76"/>
      <c r="B61" s="76" t="s">
        <v>277</v>
      </c>
      <c r="C61" s="78">
        <f t="shared" si="4"/>
        <v>1652021.2826931421</v>
      </c>
      <c r="D61" s="78">
        <f t="shared" si="0"/>
        <v>16520.21282693142</v>
      </c>
      <c r="E61" s="78">
        <f t="shared" si="1"/>
        <v>42502.274822583517</v>
      </c>
      <c r="F61" s="78">
        <f t="shared" si="5"/>
        <v>59022.487649514936</v>
      </c>
      <c r="G61" s="78">
        <f t="shared" si="3"/>
        <v>1609519.0078705586</v>
      </c>
    </row>
    <row r="62" spans="1:9" ht="15.75" customHeight="1">
      <c r="A62" s="76"/>
      <c r="B62" s="76" t="s">
        <v>278</v>
      </c>
      <c r="C62" s="78">
        <f t="shared" si="4"/>
        <v>1609519.0078705586</v>
      </c>
      <c r="D62" s="78">
        <f t="shared" si="0"/>
        <v>16095.190078705586</v>
      </c>
      <c r="E62" s="78">
        <f t="shared" si="1"/>
        <v>42927.297570809351</v>
      </c>
      <c r="F62" s="78">
        <f t="shared" si="5"/>
        <v>59022.487649514936</v>
      </c>
      <c r="G62" s="78">
        <f t="shared" si="3"/>
        <v>1566591.7102997494</v>
      </c>
    </row>
    <row r="63" spans="1:9" ht="15.75" customHeight="1">
      <c r="A63" s="76"/>
      <c r="B63" s="76" t="s">
        <v>279</v>
      </c>
      <c r="C63" s="78">
        <f t="shared" si="4"/>
        <v>1566591.7102997494</v>
      </c>
      <c r="D63" s="78">
        <f t="shared" si="0"/>
        <v>15665.917102997495</v>
      </c>
      <c r="E63" s="78">
        <f t="shared" si="1"/>
        <v>43356.57054651744</v>
      </c>
      <c r="F63" s="78">
        <f t="shared" si="5"/>
        <v>59022.487649514936</v>
      </c>
      <c r="G63" s="78">
        <f t="shared" si="3"/>
        <v>1523235.139753232</v>
      </c>
    </row>
    <row r="64" spans="1:9" ht="15.75" customHeight="1">
      <c r="A64" s="76"/>
      <c r="B64" s="76" t="s">
        <v>280</v>
      </c>
      <c r="C64" s="78">
        <f t="shared" si="4"/>
        <v>1523235.139753232</v>
      </c>
      <c r="D64" s="78">
        <f t="shared" si="0"/>
        <v>15232.35139753232</v>
      </c>
      <c r="E64" s="78">
        <f t="shared" si="1"/>
        <v>43790.136251982614</v>
      </c>
      <c r="F64" s="78">
        <f t="shared" si="5"/>
        <v>59022.487649514936</v>
      </c>
      <c r="G64" s="78">
        <f t="shared" si="3"/>
        <v>1479445.0035012495</v>
      </c>
    </row>
    <row r="65" spans="1:9" ht="15.75" customHeight="1">
      <c r="A65" s="76"/>
      <c r="B65" s="76" t="s">
        <v>281</v>
      </c>
      <c r="C65" s="78">
        <f t="shared" si="4"/>
        <v>1479445.0035012495</v>
      </c>
      <c r="D65" s="78">
        <f t="shared" si="0"/>
        <v>14794.450035012494</v>
      </c>
      <c r="E65" s="78">
        <f t="shared" si="1"/>
        <v>44228.037614502442</v>
      </c>
      <c r="F65" s="78">
        <f t="shared" si="5"/>
        <v>59022.487649514936</v>
      </c>
      <c r="G65" s="78">
        <f t="shared" si="3"/>
        <v>1435216.965886747</v>
      </c>
    </row>
    <row r="66" spans="1:9" ht="15.75" customHeight="1">
      <c r="A66" s="76"/>
      <c r="B66" s="76" t="s">
        <v>282</v>
      </c>
      <c r="C66" s="78">
        <f t="shared" si="4"/>
        <v>1435216.965886747</v>
      </c>
      <c r="D66" s="78">
        <f t="shared" si="0"/>
        <v>14352.169658867469</v>
      </c>
      <c r="E66" s="78">
        <f t="shared" si="1"/>
        <v>44670.317990647469</v>
      </c>
      <c r="F66" s="78">
        <f t="shared" si="5"/>
        <v>59022.487649514936</v>
      </c>
      <c r="G66" s="78">
        <f t="shared" si="3"/>
        <v>1390546.6478960996</v>
      </c>
    </row>
    <row r="67" spans="1:9" ht="15.75" customHeight="1">
      <c r="A67" s="76"/>
      <c r="B67" s="76" t="s">
        <v>283</v>
      </c>
      <c r="C67" s="78">
        <f t="shared" si="4"/>
        <v>1390546.6478960996</v>
      </c>
      <c r="D67" s="78">
        <f t="shared" si="0"/>
        <v>13905.466478960996</v>
      </c>
      <c r="E67" s="78">
        <f t="shared" si="1"/>
        <v>45117.02117055394</v>
      </c>
      <c r="F67" s="78">
        <f t="shared" si="5"/>
        <v>59022.487649514936</v>
      </c>
      <c r="G67" s="78">
        <f t="shared" si="3"/>
        <v>1345429.6267255456</v>
      </c>
    </row>
    <row r="68" spans="1:9" ht="15.75" customHeight="1">
      <c r="A68" s="76"/>
      <c r="B68" s="76" t="s">
        <v>284</v>
      </c>
      <c r="C68" s="78">
        <f t="shared" si="4"/>
        <v>1345429.6267255456</v>
      </c>
      <c r="D68" s="78">
        <f t="shared" si="0"/>
        <v>13454.296267255457</v>
      </c>
      <c r="E68" s="78">
        <f t="shared" si="1"/>
        <v>45568.19138225948</v>
      </c>
      <c r="F68" s="78">
        <f t="shared" si="5"/>
        <v>59022.487649514936</v>
      </c>
      <c r="G68" s="78">
        <f t="shared" si="3"/>
        <v>1299861.435343286</v>
      </c>
    </row>
    <row r="69" spans="1:9" ht="15.75" customHeight="1">
      <c r="A69" s="76"/>
      <c r="B69" s="76" t="s">
        <v>285</v>
      </c>
      <c r="C69" s="78">
        <f t="shared" si="4"/>
        <v>1299861.435343286</v>
      </c>
      <c r="D69" s="78">
        <f t="shared" si="0"/>
        <v>12998.61435343286</v>
      </c>
      <c r="E69" s="78">
        <f t="shared" si="1"/>
        <v>46023.873296082078</v>
      </c>
      <c r="F69" s="78">
        <f t="shared" si="5"/>
        <v>59022.487649514936</v>
      </c>
      <c r="G69" s="78">
        <f t="shared" si="3"/>
        <v>1253837.562047204</v>
      </c>
      <c r="H69" s="125"/>
      <c r="I69" s="125"/>
    </row>
    <row r="70" spans="1:9" ht="15.75" customHeight="1">
      <c r="A70" s="76" t="s">
        <v>286</v>
      </c>
      <c r="B70" s="76" t="s">
        <v>287</v>
      </c>
      <c r="C70" s="78">
        <f t="shared" si="4"/>
        <v>1253837.562047204</v>
      </c>
      <c r="D70" s="78">
        <f t="shared" si="0"/>
        <v>12538.375620472039</v>
      </c>
      <c r="E70" s="78">
        <f t="shared" si="1"/>
        <v>46484.112029042895</v>
      </c>
      <c r="F70" s="78">
        <f t="shared" si="5"/>
        <v>59022.487649514936</v>
      </c>
      <c r="G70" s="78">
        <f t="shared" si="3"/>
        <v>1207353.4500181612</v>
      </c>
    </row>
    <row r="71" spans="1:9" ht="15.75" customHeight="1">
      <c r="A71" s="76"/>
      <c r="B71" s="76" t="s">
        <v>288</v>
      </c>
      <c r="C71" s="78">
        <f t="shared" si="4"/>
        <v>1207353.4500181612</v>
      </c>
      <c r="D71" s="78">
        <f t="shared" si="0"/>
        <v>12073.534500181611</v>
      </c>
      <c r="E71" s="78">
        <f t="shared" si="1"/>
        <v>46948.953149333327</v>
      </c>
      <c r="F71" s="78">
        <f t="shared" si="5"/>
        <v>59022.487649514936</v>
      </c>
      <c r="G71" s="78">
        <f t="shared" si="3"/>
        <v>1160404.4968688278</v>
      </c>
    </row>
    <row r="72" spans="1:9" ht="15.75" customHeight="1">
      <c r="A72" s="76"/>
      <c r="B72" s="76" t="s">
        <v>289</v>
      </c>
      <c r="C72" s="78">
        <f t="shared" si="4"/>
        <v>1160404.4968688278</v>
      </c>
      <c r="D72" s="78">
        <f t="shared" si="0"/>
        <v>11604.044968688278</v>
      </c>
      <c r="E72" s="78">
        <f t="shared" si="1"/>
        <v>47418.442680826658</v>
      </c>
      <c r="F72" s="78">
        <f t="shared" si="5"/>
        <v>59022.487649514936</v>
      </c>
      <c r="G72" s="78">
        <f t="shared" si="3"/>
        <v>1112986.0541880012</v>
      </c>
    </row>
    <row r="73" spans="1:9" ht="15.75" customHeight="1">
      <c r="A73" s="76"/>
      <c r="B73" s="76" t="s">
        <v>290</v>
      </c>
      <c r="C73" s="78">
        <f t="shared" si="4"/>
        <v>1112986.0541880012</v>
      </c>
      <c r="D73" s="78">
        <f t="shared" si="0"/>
        <v>11129.860541880013</v>
      </c>
      <c r="E73" s="78">
        <f t="shared" si="1"/>
        <v>47892.627107634922</v>
      </c>
      <c r="F73" s="78">
        <f t="shared" si="5"/>
        <v>59022.487649514936</v>
      </c>
      <c r="G73" s="78">
        <f t="shared" si="3"/>
        <v>1065093.4270803663</v>
      </c>
    </row>
    <row r="74" spans="1:9" ht="15.75" customHeight="1">
      <c r="A74" s="76"/>
      <c r="B74" s="76" t="s">
        <v>291</v>
      </c>
      <c r="C74" s="78">
        <f t="shared" si="4"/>
        <v>1065093.4270803663</v>
      </c>
      <c r="D74" s="78">
        <f t="shared" si="0"/>
        <v>10650.934270803662</v>
      </c>
      <c r="E74" s="78">
        <f t="shared" si="1"/>
        <v>48371.553378711273</v>
      </c>
      <c r="F74" s="78">
        <f t="shared" si="5"/>
        <v>59022.487649514936</v>
      </c>
      <c r="G74" s="78">
        <f t="shared" si="3"/>
        <v>1016721.8737016551</v>
      </c>
    </row>
    <row r="75" spans="1:9" ht="15.75" customHeight="1">
      <c r="A75" s="76"/>
      <c r="B75" s="76" t="s">
        <v>292</v>
      </c>
      <c r="C75" s="78">
        <f t="shared" si="4"/>
        <v>1016721.8737016551</v>
      </c>
      <c r="D75" s="78">
        <f t="shared" si="0"/>
        <v>10167.21873701655</v>
      </c>
      <c r="E75" s="78">
        <f t="shared" si="1"/>
        <v>48855.268912498388</v>
      </c>
      <c r="F75" s="78">
        <f t="shared" si="5"/>
        <v>59022.487649514936</v>
      </c>
      <c r="G75" s="78">
        <f t="shared" si="3"/>
        <v>967866.6047891567</v>
      </c>
    </row>
    <row r="76" spans="1:9" ht="15.75" customHeight="1">
      <c r="A76" s="76"/>
      <c r="B76" s="76" t="s">
        <v>293</v>
      </c>
      <c r="C76" s="78">
        <f t="shared" si="4"/>
        <v>967866.6047891567</v>
      </c>
      <c r="D76" s="78">
        <f t="shared" si="0"/>
        <v>9678.6660478915674</v>
      </c>
      <c r="E76" s="78">
        <f t="shared" si="1"/>
        <v>49343.821601623371</v>
      </c>
      <c r="F76" s="78">
        <f t="shared" si="5"/>
        <v>59022.487649514936</v>
      </c>
      <c r="G76" s="78">
        <f t="shared" si="3"/>
        <v>918522.78318753338</v>
      </c>
    </row>
    <row r="77" spans="1:9" ht="15.75" customHeight="1">
      <c r="A77" s="76"/>
      <c r="B77" s="76" t="s">
        <v>294</v>
      </c>
      <c r="C77" s="78">
        <f t="shared" si="4"/>
        <v>918522.78318753338</v>
      </c>
      <c r="D77" s="78">
        <f t="shared" si="0"/>
        <v>9185.2278318753324</v>
      </c>
      <c r="E77" s="78">
        <f t="shared" si="1"/>
        <v>49837.259817639606</v>
      </c>
      <c r="F77" s="78">
        <f t="shared" si="5"/>
        <v>59022.487649514936</v>
      </c>
      <c r="G77" s="78">
        <f t="shared" si="3"/>
        <v>868685.52336989378</v>
      </c>
    </row>
    <row r="78" spans="1:9" ht="15.75" customHeight="1">
      <c r="A78" s="76"/>
      <c r="B78" s="76" t="s">
        <v>295</v>
      </c>
      <c r="C78" s="78">
        <f t="shared" si="4"/>
        <v>868685.52336989378</v>
      </c>
      <c r="D78" s="78">
        <f t="shared" si="0"/>
        <v>8686.8552336989378</v>
      </c>
      <c r="E78" s="78">
        <f t="shared" si="1"/>
        <v>50335.632415815999</v>
      </c>
      <c r="F78" s="78">
        <f t="shared" si="5"/>
        <v>59022.487649514936</v>
      </c>
      <c r="G78" s="78">
        <f t="shared" si="3"/>
        <v>818349.89095407783</v>
      </c>
    </row>
    <row r="79" spans="1:9" ht="15.75" customHeight="1">
      <c r="A79" s="76"/>
      <c r="B79" s="76" t="s">
        <v>296</v>
      </c>
      <c r="C79" s="78">
        <f t="shared" si="4"/>
        <v>818349.89095407783</v>
      </c>
      <c r="D79" s="78">
        <f t="shared" si="0"/>
        <v>8183.4989095407773</v>
      </c>
      <c r="E79" s="78">
        <f t="shared" si="1"/>
        <v>50838.988739974156</v>
      </c>
      <c r="F79" s="78">
        <f t="shared" si="5"/>
        <v>59022.487649514936</v>
      </c>
      <c r="G79" s="78">
        <f t="shared" si="3"/>
        <v>767510.90221410361</v>
      </c>
    </row>
    <row r="80" spans="1:9" ht="15.75" customHeight="1">
      <c r="A80" s="76"/>
      <c r="B80" s="76" t="s">
        <v>297</v>
      </c>
      <c r="C80" s="78">
        <f t="shared" si="4"/>
        <v>767510.90221410361</v>
      </c>
      <c r="D80" s="78">
        <f t="shared" si="0"/>
        <v>7675.109022141035</v>
      </c>
      <c r="E80" s="78">
        <f t="shared" si="1"/>
        <v>51347.378627373902</v>
      </c>
      <c r="F80" s="78">
        <f t="shared" si="5"/>
        <v>59022.487649514936</v>
      </c>
      <c r="G80" s="78">
        <f t="shared" si="3"/>
        <v>716163.52358672966</v>
      </c>
    </row>
    <row r="81" spans="1:9" ht="15.75" customHeight="1">
      <c r="A81" s="76"/>
      <c r="B81" s="76" t="s">
        <v>298</v>
      </c>
      <c r="C81" s="78">
        <f t="shared" si="4"/>
        <v>716163.52358672966</v>
      </c>
      <c r="D81" s="78">
        <f t="shared" si="0"/>
        <v>7161.6352358672966</v>
      </c>
      <c r="E81" s="78">
        <f t="shared" si="1"/>
        <v>51860.852413647641</v>
      </c>
      <c r="F81" s="78">
        <f t="shared" si="5"/>
        <v>59022.487649514936</v>
      </c>
      <c r="G81" s="78">
        <f t="shared" si="3"/>
        <v>664302.67117308197</v>
      </c>
      <c r="H81" s="125"/>
      <c r="I81" s="125"/>
    </row>
    <row r="82" spans="1:9" ht="15.75" customHeight="1">
      <c r="A82" s="76" t="s">
        <v>299</v>
      </c>
      <c r="B82" s="76" t="s">
        <v>300</v>
      </c>
      <c r="C82" s="78">
        <f t="shared" si="4"/>
        <v>664302.67117308197</v>
      </c>
      <c r="D82" s="78">
        <f t="shared" si="0"/>
        <v>6643.0267117308185</v>
      </c>
      <c r="E82" s="78">
        <f t="shared" si="1"/>
        <v>52379.460937784119</v>
      </c>
      <c r="F82" s="78">
        <f t="shared" si="5"/>
        <v>59022.487649514936</v>
      </c>
      <c r="G82" s="78">
        <f t="shared" si="3"/>
        <v>611923.2102352978</v>
      </c>
    </row>
    <row r="83" spans="1:9" ht="15.75" customHeight="1">
      <c r="A83" s="76"/>
      <c r="B83" s="76" t="s">
        <v>301</v>
      </c>
      <c r="C83" s="78">
        <f t="shared" si="4"/>
        <v>611923.2102352978</v>
      </c>
      <c r="D83" s="78">
        <f t="shared" si="0"/>
        <v>6119.2321023529776</v>
      </c>
      <c r="E83" s="78">
        <f t="shared" si="1"/>
        <v>52903.255547161956</v>
      </c>
      <c r="F83" s="78">
        <f t="shared" si="5"/>
        <v>59022.487649514936</v>
      </c>
      <c r="G83" s="78">
        <f t="shared" si="3"/>
        <v>559019.95468813588</v>
      </c>
    </row>
    <row r="84" spans="1:9" ht="15.75" customHeight="1">
      <c r="A84" s="76"/>
      <c r="B84" s="76" t="s">
        <v>302</v>
      </c>
      <c r="C84" s="78">
        <f t="shared" si="4"/>
        <v>559019.95468813588</v>
      </c>
      <c r="D84" s="78">
        <f t="shared" si="0"/>
        <v>5590.1995468813584</v>
      </c>
      <c r="E84" s="78">
        <f t="shared" si="1"/>
        <v>53432.288102633582</v>
      </c>
      <c r="F84" s="78">
        <f t="shared" si="5"/>
        <v>59022.487649514936</v>
      </c>
      <c r="G84" s="78">
        <f t="shared" si="3"/>
        <v>505587.66658550233</v>
      </c>
    </row>
    <row r="85" spans="1:9" ht="15.75" customHeight="1">
      <c r="A85" s="76"/>
      <c r="B85" s="76" t="s">
        <v>303</v>
      </c>
      <c r="C85" s="78">
        <f t="shared" si="4"/>
        <v>505587.66658550233</v>
      </c>
      <c r="D85" s="78">
        <f t="shared" si="0"/>
        <v>5055.876665855023</v>
      </c>
      <c r="E85" s="78">
        <f t="shared" si="1"/>
        <v>53966.610983659913</v>
      </c>
      <c r="F85" s="78">
        <f t="shared" si="5"/>
        <v>59022.487649514936</v>
      </c>
      <c r="G85" s="78">
        <f t="shared" si="3"/>
        <v>451621.05560184241</v>
      </c>
    </row>
    <row r="86" spans="1:9" ht="15.75" customHeight="1">
      <c r="A86" s="76"/>
      <c r="B86" s="76" t="s">
        <v>304</v>
      </c>
      <c r="C86" s="78">
        <f t="shared" si="4"/>
        <v>451621.05560184241</v>
      </c>
      <c r="D86" s="78">
        <f t="shared" si="0"/>
        <v>4516.2105560184236</v>
      </c>
      <c r="E86" s="78">
        <f t="shared" si="1"/>
        <v>54506.277093496516</v>
      </c>
      <c r="F86" s="78">
        <f t="shared" si="5"/>
        <v>59022.487649514936</v>
      </c>
      <c r="G86" s="78">
        <f t="shared" si="3"/>
        <v>397114.77850834589</v>
      </c>
    </row>
    <row r="87" spans="1:9" ht="15.75" customHeight="1">
      <c r="A87" s="76"/>
      <c r="B87" s="76" t="s">
        <v>305</v>
      </c>
      <c r="C87" s="78">
        <f t="shared" si="4"/>
        <v>397114.77850834589</v>
      </c>
      <c r="D87" s="78">
        <f t="shared" si="0"/>
        <v>3971.1477850834585</v>
      </c>
      <c r="E87" s="78">
        <f t="shared" si="1"/>
        <v>55051.33986443148</v>
      </c>
      <c r="F87" s="78">
        <f t="shared" si="5"/>
        <v>59022.487649514936</v>
      </c>
      <c r="G87" s="78">
        <f t="shared" si="3"/>
        <v>342063.43864391441</v>
      </c>
    </row>
    <row r="88" spans="1:9" ht="15.75" customHeight="1">
      <c r="A88" s="76"/>
      <c r="B88" s="76" t="s">
        <v>306</v>
      </c>
      <c r="C88" s="78">
        <f t="shared" si="4"/>
        <v>342063.43864391441</v>
      </c>
      <c r="D88" s="78">
        <f t="shared" si="0"/>
        <v>3420.6343864391438</v>
      </c>
      <c r="E88" s="78">
        <f t="shared" si="1"/>
        <v>55601.853263075791</v>
      </c>
      <c r="F88" s="78">
        <f t="shared" si="5"/>
        <v>59022.487649514936</v>
      </c>
      <c r="G88" s="78">
        <f t="shared" si="3"/>
        <v>286461.5853808386</v>
      </c>
    </row>
    <row r="89" spans="1:9" ht="15.75" customHeight="1">
      <c r="A89" s="76"/>
      <c r="B89" s="76" t="s">
        <v>307</v>
      </c>
      <c r="C89" s="78">
        <f t="shared" si="4"/>
        <v>286461.5853808386</v>
      </c>
      <c r="D89" s="78">
        <f t="shared" si="0"/>
        <v>2864.615853808386</v>
      </c>
      <c r="E89" s="78">
        <f t="shared" si="1"/>
        <v>56157.871795706553</v>
      </c>
      <c r="F89" s="78">
        <f t="shared" si="5"/>
        <v>59022.487649514936</v>
      </c>
      <c r="G89" s="78">
        <f t="shared" si="3"/>
        <v>230303.71358513203</v>
      </c>
    </row>
    <row r="90" spans="1:9" ht="15.75" customHeight="1">
      <c r="A90" s="76"/>
      <c r="B90" s="76" t="s">
        <v>308</v>
      </c>
      <c r="C90" s="78">
        <f t="shared" si="4"/>
        <v>230303.71358513203</v>
      </c>
      <c r="D90" s="78">
        <f t="shared" si="0"/>
        <v>2303.0371358513203</v>
      </c>
      <c r="E90" s="78">
        <f t="shared" si="1"/>
        <v>56719.450513663614</v>
      </c>
      <c r="F90" s="78">
        <f t="shared" si="5"/>
        <v>59022.487649514936</v>
      </c>
      <c r="G90" s="78">
        <f t="shared" si="3"/>
        <v>173584.26307146842</v>
      </c>
    </row>
    <row r="91" spans="1:9" ht="15.75" customHeight="1">
      <c r="A91" s="76"/>
      <c r="B91" s="76" t="s">
        <v>309</v>
      </c>
      <c r="C91" s="78">
        <f t="shared" si="4"/>
        <v>173584.26307146842</v>
      </c>
      <c r="D91" s="78">
        <f t="shared" si="0"/>
        <v>1735.842630714684</v>
      </c>
      <c r="E91" s="78">
        <f t="shared" si="1"/>
        <v>57286.645018800249</v>
      </c>
      <c r="F91" s="78">
        <f t="shared" si="5"/>
        <v>59022.487649514936</v>
      </c>
      <c r="G91" s="78">
        <f t="shared" si="3"/>
        <v>116297.61805266817</v>
      </c>
    </row>
    <row r="92" spans="1:9" ht="15.75" customHeight="1">
      <c r="A92" s="76"/>
      <c r="B92" s="76" t="s">
        <v>310</v>
      </c>
      <c r="C92" s="78">
        <f t="shared" si="4"/>
        <v>116297.61805266817</v>
      </c>
      <c r="D92" s="78">
        <f t="shared" si="0"/>
        <v>1162.9761805266817</v>
      </c>
      <c r="E92" s="78">
        <f t="shared" si="1"/>
        <v>57859.511468988254</v>
      </c>
      <c r="F92" s="78">
        <f t="shared" si="5"/>
        <v>59022.487649514936</v>
      </c>
      <c r="G92" s="78">
        <f t="shared" si="3"/>
        <v>58438.106583679917</v>
      </c>
    </row>
    <row r="93" spans="1:9" ht="15.75" customHeight="1">
      <c r="A93" s="76"/>
      <c r="B93" s="76" t="s">
        <v>311</v>
      </c>
      <c r="C93" s="78">
        <f t="shared" si="4"/>
        <v>58438.106583679917</v>
      </c>
      <c r="D93" s="78">
        <f t="shared" si="0"/>
        <v>584.38106583679917</v>
      </c>
      <c r="E93" s="78">
        <f t="shared" si="1"/>
        <v>58438.106583678134</v>
      </c>
      <c r="F93" s="78">
        <f t="shared" si="5"/>
        <v>59022.487649514936</v>
      </c>
      <c r="G93" s="78">
        <f t="shared" si="3"/>
        <v>1.7826096154749393E-9</v>
      </c>
    </row>
    <row r="94" spans="1:9" ht="15.75" customHeight="1">
      <c r="A94" s="71"/>
      <c r="B94" s="71"/>
      <c r="C94" s="71"/>
      <c r="D94" s="126">
        <f t="shared" ref="D94:E94" si="6">SUM(D10:D93)</f>
        <v>1608801.2366621653</v>
      </c>
      <c r="E94" s="126">
        <f t="shared" si="6"/>
        <v>3186120</v>
      </c>
      <c r="F94" s="71"/>
      <c r="G94" s="71"/>
    </row>
    <row r="95" spans="1:9" ht="39.75" customHeight="1">
      <c r="A95" s="376" t="s">
        <v>312</v>
      </c>
      <c r="B95" s="335"/>
      <c r="C95" s="335"/>
      <c r="D95" s="335"/>
      <c r="E95" s="335"/>
      <c r="F95" s="335"/>
      <c r="G95" s="335"/>
      <c r="H95" s="335"/>
    </row>
    <row r="96" spans="1:9" ht="15.75" customHeight="1">
      <c r="A96" t="s">
        <v>313</v>
      </c>
    </row>
    <row r="97" spans="1:2" ht="15.75" customHeight="1">
      <c r="A97">
        <v>1</v>
      </c>
      <c r="B97" t="s">
        <v>314</v>
      </c>
    </row>
    <row r="98" spans="1:2" ht="15.75" customHeight="1">
      <c r="A98">
        <v>2</v>
      </c>
      <c r="B98" t="s">
        <v>315</v>
      </c>
    </row>
    <row r="99" spans="1:2" ht="15.75" customHeight="1"/>
    <row r="100" spans="1:2" ht="15.75" customHeight="1"/>
  </sheetData>
  <mergeCells count="2">
    <mergeCell ref="A2:G2"/>
    <mergeCell ref="A95:H95"/>
  </mergeCells>
  <pageMargins left="0.7" right="0.7" top="0.75" bottom="0.75" header="0" footer="0"/>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00"/>
  <sheetViews>
    <sheetView topLeftCell="B50" workbookViewId="0">
      <selection activeCell="B28" sqref="A28:L63"/>
    </sheetView>
  </sheetViews>
  <sheetFormatPr defaultColWidth="14.44140625" defaultRowHeight="15" customHeight="1"/>
  <cols>
    <col min="1" max="1" width="8.6640625" customWidth="1"/>
    <col min="2" max="2" width="7.5546875" customWidth="1"/>
    <col min="3" max="3" width="30.5546875" customWidth="1"/>
    <col min="4" max="4" width="16.88671875" customWidth="1"/>
    <col min="5" max="5" width="12.5546875" customWidth="1"/>
    <col min="6" max="6" width="16" customWidth="1"/>
    <col min="7" max="7" width="20.44140625" customWidth="1"/>
    <col min="8" max="8" width="23.109375" customWidth="1"/>
    <col min="9" max="9" width="26.88671875" customWidth="1"/>
    <col min="10" max="10" width="29.44140625" customWidth="1"/>
    <col min="11" max="11" width="32.109375" customWidth="1"/>
    <col min="12" max="13" width="8.6640625" customWidth="1"/>
    <col min="14" max="14" width="24" hidden="1" customWidth="1"/>
    <col min="15" max="15" width="11.88671875" hidden="1" customWidth="1"/>
    <col min="16" max="16" width="9.5546875" hidden="1" customWidth="1"/>
    <col min="17" max="17" width="10.88671875" hidden="1" customWidth="1"/>
    <col min="18" max="18" width="11.33203125" hidden="1" customWidth="1"/>
    <col min="19" max="20" width="8.6640625" hidden="1" customWidth="1"/>
    <col min="21" max="21" width="24" hidden="1" customWidth="1"/>
    <col min="22" max="22" width="12.5546875" hidden="1" customWidth="1"/>
  </cols>
  <sheetData>
    <row r="2" spans="3:22" ht="17.399999999999999">
      <c r="C2" s="351" t="s">
        <v>316</v>
      </c>
      <c r="D2" s="335"/>
      <c r="E2" s="335"/>
      <c r="F2" s="335"/>
      <c r="G2" s="335"/>
      <c r="H2" s="335"/>
      <c r="I2" s="335"/>
      <c r="J2" s="335"/>
      <c r="K2" s="335"/>
      <c r="L2" s="127"/>
    </row>
    <row r="4" spans="3:22" ht="14.4">
      <c r="C4" s="128" t="s">
        <v>149</v>
      </c>
      <c r="D4" s="128"/>
      <c r="E4" s="129" t="s">
        <v>152</v>
      </c>
      <c r="F4" s="129" t="s">
        <v>153</v>
      </c>
      <c r="G4" s="129" t="s">
        <v>154</v>
      </c>
      <c r="H4" s="129" t="s">
        <v>155</v>
      </c>
      <c r="I4" s="129" t="s">
        <v>156</v>
      </c>
      <c r="J4" s="129" t="s">
        <v>157</v>
      </c>
      <c r="K4" s="129" t="s">
        <v>158</v>
      </c>
      <c r="L4" s="71"/>
      <c r="M4" s="71"/>
      <c r="N4" s="130"/>
      <c r="O4" s="130"/>
      <c r="P4" s="130"/>
      <c r="Q4" s="130"/>
      <c r="R4" s="130"/>
      <c r="S4" s="130"/>
      <c r="T4" s="130"/>
      <c r="U4" s="130"/>
      <c r="V4" s="130"/>
    </row>
    <row r="5" spans="3:22" ht="14.4">
      <c r="C5" s="76" t="s">
        <v>317</v>
      </c>
      <c r="D5" s="76"/>
      <c r="E5" s="76"/>
      <c r="F5" s="76"/>
      <c r="G5" s="76"/>
      <c r="H5" s="76"/>
      <c r="I5" s="76"/>
      <c r="J5" s="76"/>
      <c r="K5" s="76"/>
      <c r="L5" s="71"/>
      <c r="M5" s="71"/>
      <c r="N5" s="380" t="s">
        <v>318</v>
      </c>
      <c r="O5" s="366"/>
      <c r="P5" s="366"/>
      <c r="Q5" s="366"/>
      <c r="R5" s="367"/>
      <c r="S5" s="130"/>
      <c r="T5" s="130"/>
      <c r="U5" s="380" t="s">
        <v>319</v>
      </c>
      <c r="V5" s="367"/>
    </row>
    <row r="6" spans="3:22" ht="14.4">
      <c r="C6" s="76" t="s">
        <v>320</v>
      </c>
      <c r="D6" s="131"/>
      <c r="E6" s="76"/>
      <c r="F6" s="78">
        <f t="shared" ref="F6:K6" si="0">E15</f>
        <v>464636.25</v>
      </c>
      <c r="G6" s="78">
        <f t="shared" si="0"/>
        <v>525396.37500000012</v>
      </c>
      <c r="H6" s="78">
        <f t="shared" si="0"/>
        <v>591070.92187500012</v>
      </c>
      <c r="I6" s="78">
        <f t="shared" si="0"/>
        <v>661999.43250000023</v>
      </c>
      <c r="J6" s="78">
        <f t="shared" si="0"/>
        <v>738543.11688281293</v>
      </c>
      <c r="K6" s="78">
        <f t="shared" si="0"/>
        <v>821086.17112265679</v>
      </c>
      <c r="L6" s="71"/>
      <c r="M6" s="71"/>
      <c r="N6" s="378" t="s">
        <v>321</v>
      </c>
      <c r="O6" s="379"/>
      <c r="P6" s="379"/>
      <c r="Q6" s="379"/>
      <c r="R6" s="350"/>
      <c r="S6" s="130"/>
      <c r="T6" s="130"/>
      <c r="U6" s="378" t="s">
        <v>321</v>
      </c>
      <c r="V6" s="350"/>
    </row>
    <row r="7" spans="3:22" ht="14.4">
      <c r="C7" s="76" t="s">
        <v>322</v>
      </c>
      <c r="D7" s="131"/>
      <c r="E7" s="76"/>
      <c r="F7" s="78">
        <f t="shared" ref="F7:K7" si="1">E16</f>
        <v>1423687.0208399999</v>
      </c>
      <c r="G7" s="78">
        <f t="shared" si="1"/>
        <v>1494871.371882</v>
      </c>
      <c r="H7" s="78">
        <f t="shared" si="1"/>
        <v>1569614.9404761</v>
      </c>
      <c r="I7" s="78">
        <f t="shared" si="1"/>
        <v>1648095.687499905</v>
      </c>
      <c r="J7" s="78">
        <f t="shared" si="1"/>
        <v>1730500.4718749006</v>
      </c>
      <c r="K7" s="78">
        <f t="shared" si="1"/>
        <v>1817025.4954686456</v>
      </c>
      <c r="L7" s="71"/>
      <c r="M7" s="71"/>
      <c r="N7" s="132" t="s">
        <v>149</v>
      </c>
      <c r="O7" s="132" t="s">
        <v>323</v>
      </c>
      <c r="P7" s="132" t="s">
        <v>324</v>
      </c>
      <c r="Q7" s="132" t="s">
        <v>325</v>
      </c>
      <c r="R7" s="132" t="s">
        <v>326</v>
      </c>
      <c r="S7" s="130"/>
      <c r="T7" s="130"/>
      <c r="U7" s="133" t="s">
        <v>149</v>
      </c>
      <c r="V7" s="133" t="s">
        <v>327</v>
      </c>
    </row>
    <row r="8" spans="3:22" ht="14.4">
      <c r="C8" s="76" t="s">
        <v>328</v>
      </c>
      <c r="D8" s="131"/>
      <c r="E8" s="76"/>
      <c r="F8" s="78">
        <f t="shared" ref="F8:K8" si="2">E17</f>
        <v>949366.00800000003</v>
      </c>
      <c r="G8" s="78">
        <f t="shared" si="2"/>
        <v>996834.3084000001</v>
      </c>
      <c r="H8" s="78">
        <f t="shared" si="2"/>
        <v>1046676.02382</v>
      </c>
      <c r="I8" s="78">
        <f t="shared" si="2"/>
        <v>1099009.8250110003</v>
      </c>
      <c r="J8" s="78">
        <f t="shared" si="2"/>
        <v>1153960.3162615502</v>
      </c>
      <c r="K8" s="78">
        <f t="shared" si="2"/>
        <v>1211658.3320746277</v>
      </c>
      <c r="L8" s="71"/>
      <c r="M8" s="71"/>
      <c r="N8" s="134" t="s">
        <v>329</v>
      </c>
      <c r="O8" s="135">
        <f>'13.Facility 2 Grain Processing'!C93</f>
        <v>7500</v>
      </c>
      <c r="P8" s="135" t="e">
        <f>'13.Facility 2 Grain Processing'!#REF!</f>
        <v>#REF!</v>
      </c>
      <c r="Q8" s="135" t="e">
        <f>'13.Facility 2 Grain Processing'!#REF!</f>
        <v>#REF!</v>
      </c>
      <c r="R8" s="135" t="e">
        <f>'13.Facility 2 Grain Processing'!#REF!</f>
        <v>#REF!</v>
      </c>
      <c r="S8" s="130"/>
      <c r="T8" s="130"/>
      <c r="U8" s="134" t="s">
        <v>330</v>
      </c>
      <c r="V8" s="135">
        <f>'17.Facility 6 Horti Processing '!C163</f>
        <v>6000</v>
      </c>
    </row>
    <row r="9" spans="3:22" ht="14.4">
      <c r="C9" s="76" t="str">
        <f>C18</f>
        <v xml:space="preserve">Horticulture Processing </v>
      </c>
      <c r="D9" s="76"/>
      <c r="E9" s="76"/>
      <c r="F9" s="78">
        <f t="shared" ref="F9:K9" si="3">E18</f>
        <v>0</v>
      </c>
      <c r="G9" s="78">
        <f t="shared" si="3"/>
        <v>0</v>
      </c>
      <c r="H9" s="78">
        <f t="shared" si="3"/>
        <v>0</v>
      </c>
      <c r="I9" s="78">
        <f t="shared" si="3"/>
        <v>0</v>
      </c>
      <c r="J9" s="78">
        <f t="shared" si="3"/>
        <v>0</v>
      </c>
      <c r="K9" s="78">
        <f t="shared" si="3"/>
        <v>0</v>
      </c>
      <c r="L9" s="71"/>
      <c r="M9" s="71"/>
      <c r="N9" s="134" t="e">
        <f>'13.Facility 2 Grain Processing'!#REF!</f>
        <v>#REF!</v>
      </c>
      <c r="O9" s="134" t="e">
        <f>('13.Facility 2 Grain Processing'!#REF!*'13.Facility 2 Grain Processing'!#REF!/1000)*100</f>
        <v>#REF!</v>
      </c>
      <c r="P9" s="134" t="e">
        <f t="shared" ref="P9:R9" si="4">O9</f>
        <v>#REF!</v>
      </c>
      <c r="Q9" s="134" t="e">
        <f t="shared" si="4"/>
        <v>#REF!</v>
      </c>
      <c r="R9" s="134" t="e">
        <f t="shared" si="4"/>
        <v>#REF!</v>
      </c>
      <c r="S9" s="130"/>
      <c r="T9" s="130"/>
      <c r="U9" s="134" t="str">
        <f>'17.Facility 6 Horti Processing '!A164</f>
        <v>Other Consumbales</v>
      </c>
      <c r="V9" s="136">
        <f>'17.Facility 6 Horti Processing '!C164</f>
        <v>2000</v>
      </c>
    </row>
    <row r="10" spans="3:22" ht="14.4">
      <c r="C10" s="76"/>
      <c r="D10" s="76"/>
      <c r="E10" s="76"/>
      <c r="F10" s="78"/>
      <c r="G10" s="78"/>
      <c r="H10" s="78"/>
      <c r="I10" s="78"/>
      <c r="J10" s="78"/>
      <c r="K10" s="78"/>
      <c r="L10" s="71"/>
      <c r="M10" s="71"/>
      <c r="N10" s="134" t="e">
        <f>'13.Facility 2 Grain Processing'!#REF!</f>
        <v>#REF!</v>
      </c>
      <c r="O10" s="137" t="e">
        <f>('13.Facility 2 Grain Processing'!#REF!*'13.Facility 2 Grain Processing'!#REF!)/('13.Facility 2 Grain Processing'!B5*'13.Facility 2 Grain Processing'!B6)</f>
        <v>#REF!</v>
      </c>
      <c r="P10" s="137" t="e">
        <f t="shared" ref="P10:R10" si="5">O10</f>
        <v>#REF!</v>
      </c>
      <c r="Q10" s="137" t="e">
        <f t="shared" si="5"/>
        <v>#REF!</v>
      </c>
      <c r="R10" s="137" t="e">
        <f t="shared" si="5"/>
        <v>#REF!</v>
      </c>
      <c r="S10" s="130"/>
      <c r="T10" s="130"/>
      <c r="U10" s="134" t="str">
        <f>'17.Facility 6 Horti Processing '!A165</f>
        <v xml:space="preserve">Daily Labour </v>
      </c>
      <c r="V10" s="136">
        <f>'17.Facility 6 Horti Processing '!B165*'17.Facility 6 Horti Processing '!C165/('17.Facility 6 Horti Processing '!B5*'17.Facility 6 Horti Processing '!B6)</f>
        <v>187.5</v>
      </c>
    </row>
    <row r="11" spans="3:22" ht="14.4">
      <c r="C11" s="76"/>
      <c r="D11" s="76"/>
      <c r="E11" s="76"/>
      <c r="F11" s="78"/>
      <c r="G11" s="78"/>
      <c r="H11" s="78"/>
      <c r="I11" s="78"/>
      <c r="J11" s="78"/>
      <c r="K11" s="78"/>
      <c r="L11" s="71"/>
      <c r="M11" s="71"/>
      <c r="N11" s="134" t="str">
        <f>'13.Facility 2 Grain Processing'!A96</f>
        <v>Electricity Charges</v>
      </c>
      <c r="O11" s="137">
        <f>('13.Facility 2 Grain Processing'!B96*'13.Facility 2 Grain Processing'!C96)/('13.Facility 2 Grain Processing'!B5*'13.Facility 2 Grain Processing'!B6)</f>
        <v>80.567999999999998</v>
      </c>
      <c r="P11" s="137">
        <f t="shared" ref="P11:R11" si="6">O11</f>
        <v>80.567999999999998</v>
      </c>
      <c r="Q11" s="137">
        <f t="shared" si="6"/>
        <v>80.567999999999998</v>
      </c>
      <c r="R11" s="137">
        <f t="shared" si="6"/>
        <v>80.567999999999998</v>
      </c>
      <c r="S11" s="130"/>
      <c r="T11" s="130"/>
      <c r="U11" s="134" t="str">
        <f>'17.Facility 6 Horti Processing '!A166</f>
        <v>Electricity Charges</v>
      </c>
      <c r="V11" s="134">
        <f>'17.Facility 6 Horti Processing '!B166*'17.Facility 6 Horti Processing '!C166/('17.Facility 6 Horti Processing '!B5*'17.Facility 6 Horti Processing '!B6)</f>
        <v>0</v>
      </c>
    </row>
    <row r="12" spans="3:22" ht="14.4">
      <c r="C12" s="76" t="s">
        <v>88</v>
      </c>
      <c r="D12" s="76"/>
      <c r="E12" s="78"/>
      <c r="F12" s="78">
        <f t="shared" ref="F12:K12" si="7">SUM(F6:F11)</f>
        <v>2837689.2788399998</v>
      </c>
      <c r="G12" s="78">
        <f t="shared" si="7"/>
        <v>3017102.055282</v>
      </c>
      <c r="H12" s="78">
        <f t="shared" si="7"/>
        <v>3207361.8861710997</v>
      </c>
      <c r="I12" s="78">
        <f t="shared" si="7"/>
        <v>3409104.9450109052</v>
      </c>
      <c r="J12" s="78">
        <f t="shared" si="7"/>
        <v>3623003.9050192637</v>
      </c>
      <c r="K12" s="78">
        <f t="shared" si="7"/>
        <v>3849769.9986659302</v>
      </c>
      <c r="L12" s="71"/>
      <c r="M12" s="71"/>
      <c r="N12" s="134" t="str">
        <f>'13.Facility 2 Grain Processing'!A97</f>
        <v>Loading/Unloading Charges</v>
      </c>
      <c r="O12" s="134">
        <f>'13.Facility 2 Grain Processing'!C97*2</f>
        <v>20</v>
      </c>
      <c r="P12" s="134">
        <f t="shared" ref="P12:R12" si="8">O12</f>
        <v>20</v>
      </c>
      <c r="Q12" s="134">
        <f t="shared" si="8"/>
        <v>20</v>
      </c>
      <c r="R12" s="134">
        <f t="shared" si="8"/>
        <v>20</v>
      </c>
      <c r="S12" s="130"/>
      <c r="T12" s="130"/>
      <c r="U12" s="134" t="str">
        <f>'17.Facility 6 Horti Processing '!A167</f>
        <v>Loading/Unloading Charges</v>
      </c>
      <c r="V12" s="134">
        <f>'17.Facility 6 Horti Processing '!C167</f>
        <v>10</v>
      </c>
    </row>
    <row r="13" spans="3:22" ht="14.4">
      <c r="C13" s="76"/>
      <c r="D13" s="76"/>
      <c r="E13" s="76"/>
      <c r="F13" s="78"/>
      <c r="G13" s="78"/>
      <c r="H13" s="78"/>
      <c r="I13" s="78"/>
      <c r="J13" s="78"/>
      <c r="K13" s="78"/>
      <c r="L13" s="71"/>
      <c r="M13" s="71"/>
      <c r="N13" s="134" t="str">
        <f>'13.Facility 2 Grain Processing'!A98</f>
        <v>packaging Exp</v>
      </c>
      <c r="O13" s="134">
        <f>'13.Facility 2 Grain Processing'!C98*2</f>
        <v>40</v>
      </c>
      <c r="P13" s="134">
        <f t="shared" ref="P13:R13" si="9">O13</f>
        <v>40</v>
      </c>
      <c r="Q13" s="134">
        <f t="shared" si="9"/>
        <v>40</v>
      </c>
      <c r="R13" s="134">
        <f t="shared" si="9"/>
        <v>40</v>
      </c>
      <c r="S13" s="130"/>
      <c r="T13" s="130"/>
      <c r="U13" s="134" t="str">
        <f>'17.Facility 6 Horti Processing '!A168</f>
        <v>packaging Exp</v>
      </c>
      <c r="V13" s="138">
        <f>'17.Facility 6 Horti Processing '!C168*100</f>
        <v>200</v>
      </c>
    </row>
    <row r="14" spans="3:22" ht="14.4">
      <c r="C14" s="79" t="s">
        <v>331</v>
      </c>
      <c r="D14" s="76"/>
      <c r="E14" s="76"/>
      <c r="F14" s="78"/>
      <c r="G14" s="78"/>
      <c r="H14" s="78"/>
      <c r="I14" s="78"/>
      <c r="J14" s="78"/>
      <c r="K14" s="78"/>
      <c r="L14" s="71"/>
      <c r="M14" s="71"/>
      <c r="N14" s="134"/>
      <c r="O14" s="138"/>
      <c r="P14" s="138"/>
      <c r="Q14" s="138"/>
      <c r="R14" s="138"/>
      <c r="S14" s="130"/>
      <c r="T14" s="130"/>
      <c r="U14" s="138"/>
      <c r="V14" s="138"/>
    </row>
    <row r="15" spans="3:22" ht="14.4">
      <c r="C15" s="76" t="str">
        <f t="shared" ref="C15:C17" si="10">C6</f>
        <v>Agri Input</v>
      </c>
      <c r="D15" s="139">
        <v>0.05</v>
      </c>
      <c r="E15" s="78">
        <f>SUM('16.Facility 5 Agri Input'!D197:D252)*$D$15</f>
        <v>464636.25</v>
      </c>
      <c r="F15" s="78">
        <f>SUM('16.Facility 5 Agri Input'!E197:E252)*$D$15</f>
        <v>525396.37500000012</v>
      </c>
      <c r="G15" s="78">
        <f>SUM('16.Facility 5 Agri Input'!F197:F252)*$D$15</f>
        <v>591070.92187500012</v>
      </c>
      <c r="H15" s="78">
        <f>SUM('16.Facility 5 Agri Input'!G197:G252)*$D$15</f>
        <v>661999.43250000023</v>
      </c>
      <c r="I15" s="78">
        <f>SUM('16.Facility 5 Agri Input'!H197:H252)*$D$15</f>
        <v>738543.11688281293</v>
      </c>
      <c r="J15" s="78">
        <f>SUM('16.Facility 5 Agri Input'!I197:I252)*$D$15</f>
        <v>821086.17112265679</v>
      </c>
      <c r="K15" s="78">
        <f>SUM('16.Facility 5 Agri Input'!J197:J252)*$D$15</f>
        <v>910037.17299427802</v>
      </c>
      <c r="L15" s="71"/>
      <c r="M15" s="71"/>
      <c r="N15" s="138"/>
      <c r="O15" s="138"/>
      <c r="P15" s="138"/>
      <c r="Q15" s="138"/>
      <c r="R15" s="138"/>
      <c r="U15" s="138"/>
      <c r="V15" s="138"/>
    </row>
    <row r="16" spans="3:22" ht="14.4">
      <c r="C16" s="76" t="str">
        <f t="shared" si="10"/>
        <v>Trading</v>
      </c>
      <c r="D16" s="139">
        <v>0.05</v>
      </c>
      <c r="E16" s="78">
        <f>SUM('12.Facility 1 - Trading'!D233:D284)*$D$16</f>
        <v>1423687.0208399999</v>
      </c>
      <c r="F16" s="78">
        <f>SUM('12.Facility 1 - Trading'!E233:E284)*$D$16</f>
        <v>1494871.371882</v>
      </c>
      <c r="G16" s="78">
        <f>SUM('12.Facility 1 - Trading'!F233:F284)*$D$16</f>
        <v>1569614.9404761</v>
      </c>
      <c r="H16" s="78">
        <f>SUM('12.Facility 1 - Trading'!G233:G284)*$D$16</f>
        <v>1648095.687499905</v>
      </c>
      <c r="I16" s="78">
        <f>SUM('12.Facility 1 - Trading'!H233:H284)*$D$16</f>
        <v>1730500.4718749006</v>
      </c>
      <c r="J16" s="78">
        <f>SUM('12.Facility 1 - Trading'!I233:I284)*$D$16</f>
        <v>1817025.4954686456</v>
      </c>
      <c r="K16" s="78">
        <f>SUM('12.Facility 1 - Trading'!J233:J284)*$D$16</f>
        <v>1907876.770242078</v>
      </c>
      <c r="L16" s="71"/>
      <c r="M16" s="71"/>
      <c r="N16" s="132" t="s">
        <v>332</v>
      </c>
      <c r="O16" s="140" t="e">
        <f t="shared" ref="O16:R16" si="11">SUM(O8:O13)</f>
        <v>#REF!</v>
      </c>
      <c r="P16" s="140" t="e">
        <f t="shared" si="11"/>
        <v>#REF!</v>
      </c>
      <c r="Q16" s="140" t="e">
        <f t="shared" si="11"/>
        <v>#REF!</v>
      </c>
      <c r="R16" s="140" t="e">
        <f t="shared" si="11"/>
        <v>#REF!</v>
      </c>
      <c r="U16" s="132" t="s">
        <v>88</v>
      </c>
      <c r="V16" s="140">
        <f>SUM(V8:V15)</f>
        <v>8397.5</v>
      </c>
    </row>
    <row r="17" spans="1:18" ht="14.4">
      <c r="C17" s="76" t="str">
        <f t="shared" si="10"/>
        <v xml:space="preserve">Grain Processing </v>
      </c>
      <c r="D17" s="139">
        <v>0.05</v>
      </c>
      <c r="E17" s="78">
        <f>SUM('13.Facility 2 Grain Processing'!D93:D98)*$D$17</f>
        <v>949366.00800000003</v>
      </c>
      <c r="F17" s="78">
        <f>SUM('13.Facility 2 Grain Processing'!E93:E98)*$D$17</f>
        <v>996834.3084000001</v>
      </c>
      <c r="G17" s="78">
        <f>SUM('13.Facility 2 Grain Processing'!F93:F98)*$D$17</f>
        <v>1046676.02382</v>
      </c>
      <c r="H17" s="78">
        <f>SUM('13.Facility 2 Grain Processing'!G93:G98)*$D$17</f>
        <v>1099009.8250110003</v>
      </c>
      <c r="I17" s="78">
        <f>SUM('13.Facility 2 Grain Processing'!H93:H98)*$D$17</f>
        <v>1153960.3162615502</v>
      </c>
      <c r="J17" s="78">
        <f>SUM('13.Facility 2 Grain Processing'!I93:I98)*$D$17</f>
        <v>1211658.3320746277</v>
      </c>
      <c r="K17" s="78">
        <f>SUM('13.Facility 2 Grain Processing'!J93:J98)*$D$17</f>
        <v>1272241.2486783592</v>
      </c>
      <c r="L17" s="71"/>
      <c r="M17" s="71"/>
    </row>
    <row r="18" spans="1:18" ht="14.4">
      <c r="C18" s="76" t="s">
        <v>333</v>
      </c>
      <c r="D18" s="139">
        <v>0.05</v>
      </c>
      <c r="E18" s="78">
        <f>SUM('17.Facility 6 Horti Processing '!D163:D168)*$D$18</f>
        <v>0</v>
      </c>
      <c r="F18" s="78">
        <f>SUM('17.Facility 6 Horti Processing '!E163:E168)*$D$18</f>
        <v>0</v>
      </c>
      <c r="G18" s="78">
        <f>SUM('17.Facility 6 Horti Processing '!F163:F168)*$D$18</f>
        <v>0</v>
      </c>
      <c r="H18" s="78">
        <f>SUM('17.Facility 6 Horti Processing '!G163:G168)*$D$18</f>
        <v>0</v>
      </c>
      <c r="I18" s="78">
        <f>SUM('17.Facility 6 Horti Processing '!H163:H168)*$D$18</f>
        <v>0</v>
      </c>
      <c r="J18" s="78">
        <f>SUM('17.Facility 6 Horti Processing '!I163:I168)*$D$18</f>
        <v>0</v>
      </c>
      <c r="K18" s="78">
        <f>SUM('17.Facility 6 Horti Processing '!J163:J168)*$D$18</f>
        <v>0</v>
      </c>
      <c r="L18" s="71"/>
      <c r="M18" s="71"/>
    </row>
    <row r="19" spans="1:18" ht="14.4">
      <c r="C19" s="76"/>
      <c r="D19" s="141"/>
      <c r="E19" s="78"/>
      <c r="F19" s="78"/>
      <c r="G19" s="78"/>
      <c r="H19" s="78"/>
      <c r="I19" s="78"/>
      <c r="J19" s="78"/>
      <c r="K19" s="78"/>
      <c r="L19" s="71"/>
      <c r="M19" s="71"/>
    </row>
    <row r="20" spans="1:18" ht="14.4">
      <c r="C20" s="76"/>
      <c r="D20" s="76"/>
      <c r="E20" s="76"/>
      <c r="F20" s="78"/>
      <c r="G20" s="78"/>
      <c r="H20" s="78"/>
      <c r="I20" s="78"/>
      <c r="J20" s="78"/>
      <c r="K20" s="78"/>
      <c r="L20" s="71"/>
      <c r="M20" s="71"/>
    </row>
    <row r="21" spans="1:18" ht="15.75" customHeight="1">
      <c r="C21" s="76" t="s">
        <v>88</v>
      </c>
      <c r="D21" s="76"/>
      <c r="E21" s="78">
        <f t="shared" ref="E21:K21" si="12">SUM(E15:E20)</f>
        <v>2837689.2788399998</v>
      </c>
      <c r="F21" s="78">
        <f t="shared" si="12"/>
        <v>3017102.055282</v>
      </c>
      <c r="G21" s="78">
        <f t="shared" si="12"/>
        <v>3207361.8861710997</v>
      </c>
      <c r="H21" s="78">
        <f t="shared" si="12"/>
        <v>3409104.9450109052</v>
      </c>
      <c r="I21" s="78">
        <f t="shared" si="12"/>
        <v>3623003.9050192637</v>
      </c>
      <c r="J21" s="78">
        <f t="shared" si="12"/>
        <v>3849769.9986659302</v>
      </c>
      <c r="K21" s="78">
        <f t="shared" si="12"/>
        <v>4090155.1919147153</v>
      </c>
      <c r="L21" s="71"/>
      <c r="M21" s="71"/>
    </row>
    <row r="22" spans="1:18" ht="15.75" customHeight="1">
      <c r="C22" s="71"/>
      <c r="D22" s="71"/>
      <c r="E22" s="71"/>
      <c r="F22" s="71"/>
      <c r="G22" s="71"/>
      <c r="H22" s="71"/>
      <c r="I22" s="71"/>
      <c r="J22" s="71"/>
      <c r="K22" s="71"/>
      <c r="L22" s="71"/>
      <c r="M22" s="71"/>
    </row>
    <row r="23" spans="1:18" ht="40.5" customHeight="1">
      <c r="A23" s="364" t="s">
        <v>334</v>
      </c>
      <c r="B23" s="335"/>
      <c r="C23" s="335"/>
      <c r="D23" s="335"/>
      <c r="E23" s="335"/>
      <c r="F23" s="335"/>
      <c r="G23" s="335"/>
      <c r="H23" s="335"/>
      <c r="I23" s="335"/>
      <c r="J23" s="335"/>
      <c r="K23" s="335"/>
      <c r="L23" s="142"/>
      <c r="M23" s="142"/>
      <c r="N23" s="142"/>
      <c r="O23" s="143"/>
      <c r="P23" s="143"/>
      <c r="Q23" s="143"/>
      <c r="R23" s="143"/>
    </row>
    <row r="24" spans="1:18" ht="15.75" customHeight="1">
      <c r="A24" t="s">
        <v>313</v>
      </c>
    </row>
    <row r="25" spans="1:18" ht="15.75" customHeight="1">
      <c r="A25">
        <v>1</v>
      </c>
      <c r="B25" t="s">
        <v>335</v>
      </c>
    </row>
    <row r="26" spans="1:18" ht="15.75" customHeight="1"/>
    <row r="27" spans="1:18" ht="15.75" customHeight="1"/>
    <row r="28" spans="1:18" ht="15.75" customHeight="1">
      <c r="B28" s="351" t="s">
        <v>336</v>
      </c>
      <c r="C28" s="335"/>
      <c r="D28" s="335"/>
      <c r="E28" s="335"/>
      <c r="F28" s="335"/>
      <c r="G28" s="335"/>
      <c r="H28" s="335"/>
      <c r="I28" s="335"/>
      <c r="J28" s="335"/>
      <c r="K28" s="335"/>
    </row>
    <row r="29" spans="1:18" ht="15.75" customHeight="1"/>
    <row r="30" spans="1:18" ht="15.75" customHeight="1">
      <c r="B30" s="381" t="s">
        <v>81</v>
      </c>
      <c r="C30" s="381" t="s">
        <v>149</v>
      </c>
      <c r="D30" s="382" t="s">
        <v>337</v>
      </c>
      <c r="E30" s="383" t="s">
        <v>83</v>
      </c>
      <c r="F30" s="379"/>
      <c r="G30" s="379"/>
      <c r="H30" s="379"/>
      <c r="I30" s="379"/>
      <c r="J30" s="379"/>
      <c r="K30" s="350"/>
    </row>
    <row r="31" spans="1:18" ht="15.75" customHeight="1">
      <c r="B31" s="345"/>
      <c r="C31" s="345"/>
      <c r="D31" s="345"/>
      <c r="E31" s="38" t="s">
        <v>152</v>
      </c>
      <c r="F31" s="38" t="s">
        <v>153</v>
      </c>
      <c r="G31" s="38" t="s">
        <v>154</v>
      </c>
      <c r="H31" s="38" t="s">
        <v>155</v>
      </c>
      <c r="I31" s="38" t="s">
        <v>156</v>
      </c>
      <c r="J31" s="38" t="s">
        <v>157</v>
      </c>
      <c r="K31" s="38" t="s">
        <v>158</v>
      </c>
    </row>
    <row r="32" spans="1:18" ht="15.75" customHeight="1">
      <c r="B32" s="144"/>
      <c r="C32" s="145"/>
      <c r="D32" s="145"/>
      <c r="E32" s="146"/>
      <c r="F32" s="146"/>
      <c r="G32" s="146"/>
      <c r="H32" s="146"/>
      <c r="I32" s="146"/>
      <c r="J32" s="146"/>
      <c r="K32" s="146"/>
    </row>
    <row r="33" spans="2:11" ht="15.75" customHeight="1">
      <c r="B33" s="147" t="s">
        <v>19</v>
      </c>
      <c r="C33" s="148" t="s">
        <v>338</v>
      </c>
      <c r="D33" s="52"/>
      <c r="E33" s="149"/>
      <c r="F33" s="149"/>
      <c r="G33" s="149"/>
      <c r="H33" s="149"/>
      <c r="I33" s="149"/>
      <c r="J33" s="149"/>
      <c r="K33" s="149"/>
    </row>
    <row r="34" spans="2:11" ht="15.75" customHeight="1">
      <c r="B34" s="150">
        <v>1</v>
      </c>
      <c r="C34" s="151" t="s">
        <v>320</v>
      </c>
      <c r="D34" s="52">
        <v>14</v>
      </c>
      <c r="E34" s="149">
        <f>('16.Facility 5 Agri Input'!D191/365)*$D$34</f>
        <v>384228.80136986304</v>
      </c>
      <c r="F34" s="149">
        <f>('16.Facility 5 Agri Input'!E191/365)*$D$34</f>
        <v>455707.80308219185</v>
      </c>
      <c r="G34" s="149">
        <f>('16.Facility 5 Agri Input'!F191/365)*$D$34</f>
        <v>512793.78056506859</v>
      </c>
      <c r="H34" s="149">
        <f>('16.Facility 5 Agri Input'!G191/365)*$D$34</f>
        <v>574449.08628852759</v>
      </c>
      <c r="I34" s="149">
        <f>('16.Facility 5 Agri Input'!H191/365)*$D$34</f>
        <v>640987.93813291984</v>
      </c>
      <c r="J34" s="149">
        <f>('16.Facility 5 Agri Input'!I191/365)*$D$34</f>
        <v>712744.55244602985</v>
      </c>
      <c r="K34" s="149">
        <f>('16.Facility 5 Agri Input'!J191/365)*$D$34</f>
        <v>790074.35834511882</v>
      </c>
    </row>
    <row r="35" spans="2:11" ht="15.75" customHeight="1">
      <c r="B35" s="150">
        <v>2</v>
      </c>
      <c r="C35" s="151" t="s">
        <v>134</v>
      </c>
      <c r="D35" s="52">
        <v>14</v>
      </c>
      <c r="E35" s="149">
        <f>('15. Facility 4 Custom Hiring'!E39/365)*$D$35</f>
        <v>0</v>
      </c>
      <c r="F35" s="149">
        <f>('15. Facility 4 Custom Hiring'!F39/365)*$D$35</f>
        <v>0</v>
      </c>
      <c r="G35" s="149">
        <f>('15. Facility 4 Custom Hiring'!G39/365)*$D$35</f>
        <v>0</v>
      </c>
      <c r="H35" s="149">
        <f>('15. Facility 4 Custom Hiring'!H39/365)*$D$35</f>
        <v>0</v>
      </c>
      <c r="I35" s="149">
        <f>('15. Facility 4 Custom Hiring'!I39/365)*$D$35</f>
        <v>0</v>
      </c>
      <c r="J35" s="149">
        <f>('15. Facility 4 Custom Hiring'!J39/365)*$D$35</f>
        <v>0</v>
      </c>
      <c r="K35" s="149">
        <f>('15. Facility 4 Custom Hiring'!K39/365)*$D$35</f>
        <v>0</v>
      </c>
    </row>
    <row r="36" spans="2:11" ht="15.75" customHeight="1">
      <c r="B36" s="150">
        <v>3</v>
      </c>
      <c r="C36" s="151" t="s">
        <v>137</v>
      </c>
      <c r="D36" s="52">
        <v>14</v>
      </c>
      <c r="E36" s="149">
        <f>('12.Facility 1 - Trading'!D229/365)*$D$36</f>
        <v>1082199.5013698628</v>
      </c>
      <c r="F36" s="149">
        <f>('12.Facility 1 - Trading'!E229/365)*$D$36</f>
        <v>1196115.2383561642</v>
      </c>
      <c r="G36" s="149">
        <f>('12.Facility 1 - Trading'!F229/365)*$D$36</f>
        <v>1255921.0002739725</v>
      </c>
      <c r="H36" s="149">
        <f>('12.Facility 1 - Trading'!G229/365)*$D$36</f>
        <v>1318717.0502876712</v>
      </c>
      <c r="I36" s="149">
        <f>('12.Facility 1 - Trading'!H229/365)*$D$36</f>
        <v>1384652.902802055</v>
      </c>
      <c r="J36" s="149">
        <f>('12.Facility 1 - Trading'!I229/365)*$D$36</f>
        <v>1453885.5479421578</v>
      </c>
      <c r="K36" s="149">
        <f>('12.Facility 1 - Trading'!J229/365)*$D$36</f>
        <v>1526579.8253392656</v>
      </c>
    </row>
    <row r="37" spans="2:11" ht="15.75" customHeight="1">
      <c r="B37" s="150">
        <v>4</v>
      </c>
      <c r="C37" s="330" t="s">
        <v>772</v>
      </c>
      <c r="D37" s="52">
        <v>14</v>
      </c>
      <c r="E37" s="149">
        <f>('13.Facility 2 Grain Processing'!D89/365)*$D$37</f>
        <v>894778.81643835618</v>
      </c>
      <c r="F37" s="149">
        <f>('13.Facility 2 Grain Processing'!E89/365)*$D$37</f>
        <v>988966.06027397257</v>
      </c>
      <c r="G37" s="149">
        <f>('13.Facility 2 Grain Processing'!F89/365)*$D$37</f>
        <v>1038414.3632876711</v>
      </c>
      <c r="H37" s="149">
        <f>('13.Facility 2 Grain Processing'!G89/365)*$D$37</f>
        <v>1090335.0814520549</v>
      </c>
      <c r="I37" s="149">
        <f>('13.Facility 2 Grain Processing'!H89/365)*$D$37</f>
        <v>1144851.8355246577</v>
      </c>
      <c r="J37" s="149">
        <f>('13.Facility 2 Grain Processing'!I89/365)*$D$37</f>
        <v>1202094.4273008909</v>
      </c>
      <c r="K37" s="149">
        <f>('13.Facility 2 Grain Processing'!J89/365)*$D$37</f>
        <v>1262199.1486659355</v>
      </c>
    </row>
    <row r="38" spans="2:11" ht="15.75" customHeight="1">
      <c r="B38" s="150">
        <v>5</v>
      </c>
      <c r="C38" s="151" t="s">
        <v>339</v>
      </c>
      <c r="D38" s="52">
        <v>14</v>
      </c>
      <c r="E38" s="149">
        <f>('14. Facility 3 Warehouse'!D23/365)*$D$38</f>
        <v>0</v>
      </c>
      <c r="F38" s="149">
        <f>('14. Facility 3 Warehouse'!E23/365)*$D$38</f>
        <v>0</v>
      </c>
      <c r="G38" s="149">
        <f>('14. Facility 3 Warehouse'!F23/365)*$D$38</f>
        <v>0</v>
      </c>
      <c r="H38" s="149">
        <f>('14. Facility 3 Warehouse'!G23/365)*$D$38</f>
        <v>0</v>
      </c>
      <c r="I38" s="149">
        <f>('14. Facility 3 Warehouse'!H23/365)*$D$38</f>
        <v>0</v>
      </c>
      <c r="J38" s="149">
        <f>('14. Facility 3 Warehouse'!I23/365)*$D$38</f>
        <v>0</v>
      </c>
      <c r="K38" s="149">
        <f>('14. Facility 3 Warehouse'!J23/365)*$D$38</f>
        <v>0</v>
      </c>
    </row>
    <row r="39" spans="2:11" ht="15.75" customHeight="1">
      <c r="B39" s="150">
        <v>6</v>
      </c>
      <c r="C39" s="151" t="s">
        <v>340</v>
      </c>
      <c r="D39" s="52">
        <v>14</v>
      </c>
      <c r="E39" s="149">
        <f>('17.Facility 6 Horti Processing '!D159/365)*$D$39</f>
        <v>0</v>
      </c>
      <c r="F39" s="149">
        <f>('17.Facility 6 Horti Processing '!E159/365)*$D$39</f>
        <v>0</v>
      </c>
      <c r="G39" s="149">
        <f>('17.Facility 6 Horti Processing '!F159/365)*$D$39</f>
        <v>0</v>
      </c>
      <c r="H39" s="149">
        <f>('17.Facility 6 Horti Processing '!G159/365)*$D$39</f>
        <v>0</v>
      </c>
      <c r="I39" s="149">
        <f>('17.Facility 6 Horti Processing '!H159/365)*$D$39</f>
        <v>0</v>
      </c>
      <c r="J39" s="149">
        <f>('17.Facility 6 Horti Processing '!I159/365)*$D$39</f>
        <v>0</v>
      </c>
      <c r="K39" s="149">
        <f>('17.Facility 6 Horti Processing '!J159/365)*$D$39</f>
        <v>0</v>
      </c>
    </row>
    <row r="40" spans="2:11" ht="15.75" customHeight="1">
      <c r="B40" s="150"/>
      <c r="C40" s="151"/>
      <c r="D40" s="52"/>
      <c r="E40" s="149"/>
      <c r="F40" s="149"/>
      <c r="G40" s="149"/>
      <c r="H40" s="149"/>
      <c r="I40" s="149"/>
      <c r="J40" s="149"/>
      <c r="K40" s="149"/>
    </row>
    <row r="41" spans="2:11" ht="15.75" customHeight="1">
      <c r="B41" s="147"/>
      <c r="C41" s="148" t="s">
        <v>135</v>
      </c>
      <c r="D41" s="52"/>
      <c r="E41" s="149">
        <f t="shared" ref="E41:K41" si="13">SUM(E34:E40)</f>
        <v>2361207.1191780819</v>
      </c>
      <c r="F41" s="149">
        <f t="shared" si="13"/>
        <v>2640789.1017123284</v>
      </c>
      <c r="G41" s="149">
        <f t="shared" si="13"/>
        <v>2807129.1441267123</v>
      </c>
      <c r="H41" s="149">
        <f t="shared" si="13"/>
        <v>2983501.2180282539</v>
      </c>
      <c r="I41" s="149">
        <f t="shared" si="13"/>
        <v>3170492.6764596328</v>
      </c>
      <c r="J41" s="149">
        <f t="shared" si="13"/>
        <v>3368724.5276890788</v>
      </c>
      <c r="K41" s="149">
        <f t="shared" si="13"/>
        <v>3578853.3323503202</v>
      </c>
    </row>
    <row r="42" spans="2:11" ht="15.75" customHeight="1">
      <c r="B42" s="147" t="s">
        <v>61</v>
      </c>
      <c r="C42" s="148" t="s">
        <v>331</v>
      </c>
      <c r="D42" s="52"/>
      <c r="E42" s="149">
        <f>'5.Closing Stock &amp; W Capital'!E21</f>
        <v>2837689.2788399998</v>
      </c>
      <c r="F42" s="149">
        <f>'5.Closing Stock &amp; W Capital'!F21</f>
        <v>3017102.055282</v>
      </c>
      <c r="G42" s="149">
        <f>'5.Closing Stock &amp; W Capital'!G21</f>
        <v>3207361.8861710997</v>
      </c>
      <c r="H42" s="149">
        <f>'5.Closing Stock &amp; W Capital'!H21</f>
        <v>3409104.9450109052</v>
      </c>
      <c r="I42" s="149">
        <f>'5.Closing Stock &amp; W Capital'!I21</f>
        <v>3623003.9050192637</v>
      </c>
      <c r="J42" s="149">
        <f>'5.Closing Stock &amp; W Capital'!J21</f>
        <v>3849769.9986659302</v>
      </c>
      <c r="K42" s="149">
        <f>'5.Closing Stock &amp; W Capital'!K21</f>
        <v>4090155.1919147153</v>
      </c>
    </row>
    <row r="43" spans="2:11" ht="15.75" customHeight="1">
      <c r="B43" s="147"/>
      <c r="C43" s="151"/>
      <c r="D43" s="52"/>
      <c r="E43" s="149"/>
      <c r="F43" s="149"/>
      <c r="G43" s="149"/>
      <c r="H43" s="149"/>
      <c r="I43" s="149"/>
      <c r="J43" s="149"/>
      <c r="K43" s="149"/>
    </row>
    <row r="44" spans="2:11" ht="15.75" customHeight="1">
      <c r="B44" s="355" t="s">
        <v>88</v>
      </c>
      <c r="C44" s="340"/>
      <c r="D44" s="152"/>
      <c r="E44" s="153">
        <f t="shared" ref="E44:K44" si="14">SUM(E41:E42)</f>
        <v>5198896.3980180817</v>
      </c>
      <c r="F44" s="153">
        <f t="shared" si="14"/>
        <v>5657891.1569943279</v>
      </c>
      <c r="G44" s="153">
        <f t="shared" si="14"/>
        <v>6014491.0302978121</v>
      </c>
      <c r="H44" s="153">
        <f t="shared" si="14"/>
        <v>6392606.163039159</v>
      </c>
      <c r="I44" s="153">
        <f t="shared" si="14"/>
        <v>6793496.5814788966</v>
      </c>
      <c r="J44" s="153">
        <f t="shared" si="14"/>
        <v>7218494.5263550095</v>
      </c>
      <c r="K44" s="153">
        <f t="shared" si="14"/>
        <v>7669008.524265036</v>
      </c>
    </row>
    <row r="45" spans="2:11" ht="15.75" customHeight="1">
      <c r="B45" s="147"/>
      <c r="C45" s="148"/>
      <c r="D45" s="52"/>
      <c r="E45" s="149"/>
      <c r="F45" s="149"/>
      <c r="G45" s="149"/>
      <c r="H45" s="149"/>
      <c r="I45" s="149"/>
      <c r="J45" s="149"/>
      <c r="K45" s="149"/>
    </row>
    <row r="46" spans="2:11" ht="34.5" customHeight="1">
      <c r="B46" s="147" t="s">
        <v>136</v>
      </c>
      <c r="C46" s="151" t="s">
        <v>341</v>
      </c>
      <c r="D46" s="52"/>
      <c r="E46" s="149"/>
      <c r="F46" s="149"/>
      <c r="G46" s="149"/>
      <c r="H46" s="149"/>
      <c r="I46" s="149"/>
      <c r="J46" s="149"/>
      <c r="K46" s="149"/>
    </row>
    <row r="47" spans="2:11" ht="15.75" customHeight="1">
      <c r="B47" s="150">
        <v>1</v>
      </c>
      <c r="C47" s="151" t="str">
        <f t="shared" ref="C47:C52" si="15">C34</f>
        <v>Agri Input</v>
      </c>
      <c r="D47" s="52">
        <v>7</v>
      </c>
      <c r="E47" s="149">
        <f>('16.Facility 5 Agri Input'!D262/365)*$D$47</f>
        <v>189261.36369863013</v>
      </c>
      <c r="F47" s="149">
        <f>('16.Facility 5 Agri Input'!E262/365)*$D$47</f>
        <v>222921.75883561649</v>
      </c>
      <c r="G47" s="149">
        <f>('16.Facility 5 Agri Input'!F262/365)*$D$47</f>
        <v>250838.38733732881</v>
      </c>
      <c r="H47" s="149">
        <f>('16.Facility 5 Agri Input'!G262/365)*$D$47</f>
        <v>280989.37429212336</v>
      </c>
      <c r="I47" s="149">
        <f>('16.Facility 5 Agri Input'!H262/365)*$D$47</f>
        <v>313528.36397405411</v>
      </c>
      <c r="J47" s="149">
        <f>('16.Facility 5 Agri Input'!I262/365)*$D$47</f>
        <v>348618.77918844757</v>
      </c>
      <c r="K47" s="149">
        <f>('16.Facility 5 Agri Input'!J262/365)*$D$47</f>
        <v>386434.4150143452</v>
      </c>
    </row>
    <row r="48" spans="2:11" ht="15.75" customHeight="1">
      <c r="B48" s="150">
        <v>2</v>
      </c>
      <c r="C48" s="151" t="str">
        <f t="shared" si="15"/>
        <v>Custom Hiring</v>
      </c>
      <c r="D48" s="52">
        <v>7</v>
      </c>
      <c r="E48" s="149">
        <f>('15. Facility 4 Custom Hiring'!E49/365)*$D$49</f>
        <v>0</v>
      </c>
      <c r="F48" s="149">
        <f>('15. Facility 4 Custom Hiring'!F49/365)*$D$49</f>
        <v>0</v>
      </c>
      <c r="G48" s="149">
        <f>('15. Facility 4 Custom Hiring'!G49/365)*$D$49</f>
        <v>0</v>
      </c>
      <c r="H48" s="149">
        <f>('15. Facility 4 Custom Hiring'!H49/365)*$D$49</f>
        <v>0</v>
      </c>
      <c r="I48" s="149">
        <f>('15. Facility 4 Custom Hiring'!I49/365)*$D$49</f>
        <v>0</v>
      </c>
      <c r="J48" s="149">
        <f>('15. Facility 4 Custom Hiring'!J49/365)*$D$49</f>
        <v>0</v>
      </c>
      <c r="K48" s="149">
        <f>('15. Facility 4 Custom Hiring'!K49/365)*$D$49</f>
        <v>0</v>
      </c>
    </row>
    <row r="49" spans="1:12" ht="15.75" customHeight="1">
      <c r="B49" s="150">
        <v>3</v>
      </c>
      <c r="C49" s="151" t="str">
        <f t="shared" si="15"/>
        <v>Cleaning &amp; Grading</v>
      </c>
      <c r="D49" s="52">
        <v>7</v>
      </c>
      <c r="E49" s="149">
        <f>('12.Facility 1 - Trading'!D292/365)*$D$49</f>
        <v>520877.69800471223</v>
      </c>
      <c r="F49" s="149">
        <f>('12.Facility 1 - Trading'!E292/365)*$D$49</f>
        <v>574225.16960598901</v>
      </c>
      <c r="G49" s="149">
        <f>('12.Facility 1 - Trading'!F292/365)*$D$49</f>
        <v>602936.42808628851</v>
      </c>
      <c r="H49" s="149">
        <f>('12.Facility 1 - Trading'!G292/365)*$D$49</f>
        <v>633083.24949060287</v>
      </c>
      <c r="I49" s="149">
        <f>('12.Facility 1 - Trading'!H292/365)*$D$49</f>
        <v>664737.41196513316</v>
      </c>
      <c r="J49" s="149">
        <f>('12.Facility 1 - Trading'!I292/365)*$D$49</f>
        <v>697974.28256338974</v>
      </c>
      <c r="K49" s="149">
        <f>('12.Facility 1 - Trading'!J292/365)*$D$49</f>
        <v>732872.99669155932</v>
      </c>
    </row>
    <row r="50" spans="1:12" ht="15.75" customHeight="1">
      <c r="B50" s="150">
        <v>4</v>
      </c>
      <c r="C50" s="151" t="str">
        <f t="shared" si="15"/>
        <v>Turmeric Processing</v>
      </c>
      <c r="D50" s="52">
        <v>7</v>
      </c>
      <c r="E50" s="149">
        <f>('13.Facility 2 Grain Processing'!D107/365)*$D$50</f>
        <v>392536.10702465754</v>
      </c>
      <c r="F50" s="149">
        <f>('13.Facility 2 Grain Processing'!E107/365)*$D$50</f>
        <v>430369.93170739728</v>
      </c>
      <c r="G50" s="149">
        <f>('13.Facility 2 Grain Processing'!F107/365)*$D$50</f>
        <v>451888.42829276709</v>
      </c>
      <c r="H50" s="149">
        <f>('13.Facility 2 Grain Processing'!G107/365)*$D$50</f>
        <v>474482.84970740555</v>
      </c>
      <c r="I50" s="149">
        <f>('13.Facility 2 Grain Processing'!H107/365)*$D$50</f>
        <v>498206.99219277583</v>
      </c>
      <c r="J50" s="149">
        <f>('13.Facility 2 Grain Processing'!I107/365)*$D$50</f>
        <v>523117.34180241462</v>
      </c>
      <c r="K50" s="149">
        <f>('13.Facility 2 Grain Processing'!J107/365)*$D$50</f>
        <v>549273.20889253542</v>
      </c>
    </row>
    <row r="51" spans="1:12" ht="15.75" customHeight="1">
      <c r="B51" s="150">
        <v>5</v>
      </c>
      <c r="C51" s="151" t="str">
        <f t="shared" si="15"/>
        <v>Warehouse</v>
      </c>
      <c r="D51" s="52">
        <v>7</v>
      </c>
      <c r="E51" s="149">
        <f>('14. Facility 3 Warehouse'!D34/365)*$D$51</f>
        <v>0</v>
      </c>
      <c r="F51" s="149">
        <f>('14. Facility 3 Warehouse'!E34/365)*$D$51</f>
        <v>0</v>
      </c>
      <c r="G51" s="149">
        <f>('14. Facility 3 Warehouse'!F34/365)*$D$51</f>
        <v>0</v>
      </c>
      <c r="H51" s="149">
        <f>('14. Facility 3 Warehouse'!G34/365)*$D$51</f>
        <v>0</v>
      </c>
      <c r="I51" s="149">
        <f>('14. Facility 3 Warehouse'!H34/365)*$D$51</f>
        <v>0</v>
      </c>
      <c r="J51" s="149">
        <f>('14. Facility 3 Warehouse'!I34/365)*$D$51</f>
        <v>0</v>
      </c>
      <c r="K51" s="149">
        <f>('14. Facility 3 Warehouse'!J34/365)*$D$51</f>
        <v>0</v>
      </c>
    </row>
    <row r="52" spans="1:12" ht="15.75" customHeight="1">
      <c r="B52" s="150"/>
      <c r="C52" s="151" t="str">
        <f t="shared" si="15"/>
        <v>Processing Unit - Horti Commodity</v>
      </c>
      <c r="D52" s="52">
        <v>7</v>
      </c>
      <c r="E52" s="149">
        <f>('17.Facility 6 Horti Processing '!D177/365)*$D$52</f>
        <v>-18207.01933150685</v>
      </c>
      <c r="F52" s="149">
        <f>('17.Facility 6 Horti Processing '!E177/365)*$D$52</f>
        <v>-910.35096657534359</v>
      </c>
      <c r="G52" s="149">
        <f>('17.Facility 6 Horti Processing '!F177/365)*$D$52</f>
        <v>-955.86851490410777</v>
      </c>
      <c r="H52" s="149">
        <f>('17.Facility 6 Horti Processing '!G177/365)*$D$52</f>
        <v>-1003.6619406493202</v>
      </c>
      <c r="I52" s="149">
        <f>('17.Facility 6 Horti Processing '!H177/365)*$D$52</f>
        <v>-1053.8450376817791</v>
      </c>
      <c r="J52" s="149">
        <f>('17.Facility 6 Horti Processing '!I177/365)*$D$52</f>
        <v>-1106.5372895658711</v>
      </c>
      <c r="K52" s="149">
        <f>('17.Facility 6 Horti Processing '!J177/365)*$D$52</f>
        <v>-1161.8641540441649</v>
      </c>
    </row>
    <row r="53" spans="1:12" ht="15.75" customHeight="1">
      <c r="B53" s="150"/>
      <c r="C53" s="151"/>
      <c r="D53" s="52"/>
      <c r="E53" s="149"/>
      <c r="F53" s="149"/>
      <c r="G53" s="149"/>
      <c r="H53" s="149"/>
      <c r="I53" s="149"/>
      <c r="J53" s="149"/>
      <c r="K53" s="149"/>
    </row>
    <row r="54" spans="1:12" ht="15.75" customHeight="1">
      <c r="B54" s="154"/>
      <c r="C54" s="148" t="s">
        <v>88</v>
      </c>
      <c r="D54" s="52"/>
      <c r="E54" s="153">
        <f t="shared" ref="E54:K54" si="16">SUM(E47:E53)</f>
        <v>1084468.1493964931</v>
      </c>
      <c r="F54" s="153">
        <f t="shared" si="16"/>
        <v>1226606.5091824275</v>
      </c>
      <c r="G54" s="153">
        <f t="shared" si="16"/>
        <v>1304707.3752014805</v>
      </c>
      <c r="H54" s="153">
        <f t="shared" si="16"/>
        <v>1387551.8115494824</v>
      </c>
      <c r="I54" s="153">
        <f t="shared" si="16"/>
        <v>1475418.9230942812</v>
      </c>
      <c r="J54" s="153">
        <f t="shared" si="16"/>
        <v>1568603.866264686</v>
      </c>
      <c r="K54" s="153">
        <f t="shared" si="16"/>
        <v>1667418.756444396</v>
      </c>
    </row>
    <row r="55" spans="1:12" ht="15.75" customHeight="1">
      <c r="B55" s="147" t="s">
        <v>138</v>
      </c>
      <c r="C55" s="148" t="s">
        <v>87</v>
      </c>
      <c r="D55" s="52"/>
      <c r="E55" s="153">
        <f t="shared" ref="E55:K55" si="17">E44-E54</f>
        <v>4114428.2486215886</v>
      </c>
      <c r="F55" s="153">
        <f t="shared" si="17"/>
        <v>4431284.6478119008</v>
      </c>
      <c r="G55" s="153">
        <f t="shared" si="17"/>
        <v>4709783.6550963316</v>
      </c>
      <c r="H55" s="153">
        <f t="shared" si="17"/>
        <v>5005054.3514896762</v>
      </c>
      <c r="I55" s="153">
        <f t="shared" si="17"/>
        <v>5318077.6583846156</v>
      </c>
      <c r="J55" s="153">
        <f t="shared" si="17"/>
        <v>5649890.6600903235</v>
      </c>
      <c r="K55" s="153">
        <f t="shared" si="17"/>
        <v>6001589.7678206395</v>
      </c>
    </row>
    <row r="56" spans="1:12" ht="15.75" customHeight="1">
      <c r="B56" s="147"/>
      <c r="C56" s="148" t="s">
        <v>94</v>
      </c>
      <c r="D56" s="155">
        <v>0.25</v>
      </c>
      <c r="E56" s="153">
        <f>E55*$D$56</f>
        <v>1028607.0621553971</v>
      </c>
      <c r="F56" s="153"/>
      <c r="G56" s="153"/>
      <c r="H56" s="153"/>
      <c r="I56" s="153"/>
      <c r="J56" s="153"/>
      <c r="K56" s="153"/>
    </row>
    <row r="57" spans="1:12" ht="15.75" customHeight="1"/>
    <row r="58" spans="1:12" ht="15.75" customHeight="1">
      <c r="E58" s="156"/>
    </row>
    <row r="59" spans="1:12" ht="36.75" customHeight="1">
      <c r="A59" s="377" t="s">
        <v>342</v>
      </c>
      <c r="B59" s="335"/>
      <c r="C59" s="335"/>
      <c r="D59" s="335"/>
      <c r="E59" s="335"/>
      <c r="F59" s="335"/>
      <c r="G59" s="335"/>
      <c r="H59" s="335"/>
      <c r="I59" s="335"/>
      <c r="J59" s="335"/>
      <c r="K59" s="335"/>
      <c r="L59" s="335"/>
    </row>
    <row r="60" spans="1:12" ht="15.75" customHeight="1">
      <c r="A60" t="s">
        <v>343</v>
      </c>
    </row>
    <row r="61" spans="1:12" ht="15.75" customHeight="1">
      <c r="A61">
        <v>1</v>
      </c>
      <c r="B61" t="s">
        <v>344</v>
      </c>
    </row>
    <row r="62" spans="1:12" ht="15.75" customHeight="1">
      <c r="A62">
        <v>2</v>
      </c>
      <c r="B62" t="s">
        <v>345</v>
      </c>
    </row>
    <row r="63" spans="1:12" ht="15.75" customHeight="1">
      <c r="A63">
        <v>3</v>
      </c>
      <c r="B63" t="s">
        <v>346</v>
      </c>
    </row>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C2:K2"/>
    <mergeCell ref="A23:K23"/>
    <mergeCell ref="N5:R5"/>
    <mergeCell ref="B28:K28"/>
    <mergeCell ref="B30:B31"/>
    <mergeCell ref="C30:C31"/>
    <mergeCell ref="D30:D31"/>
    <mergeCell ref="E30:K30"/>
    <mergeCell ref="A59:L59"/>
    <mergeCell ref="B44:C44"/>
    <mergeCell ref="N6:R6"/>
    <mergeCell ref="U5:V5"/>
    <mergeCell ref="U6:V6"/>
  </mergeCells>
  <pageMargins left="0.7" right="0.7" top="0.75" bottom="0.75" header="0" footer="0"/>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topLeftCell="A43" workbookViewId="0">
      <selection activeCell="B63" sqref="B63"/>
    </sheetView>
  </sheetViews>
  <sheetFormatPr defaultColWidth="14.44140625" defaultRowHeight="15" customHeight="1"/>
  <cols>
    <col min="1" max="1" width="40.5546875" customWidth="1"/>
    <col min="2" max="5" width="13.44140625" customWidth="1"/>
    <col min="6" max="8" width="13.109375" customWidth="1"/>
    <col min="9" max="9" width="8.5546875" customWidth="1"/>
    <col min="10" max="10" width="10.109375" customWidth="1"/>
    <col min="11" max="11" width="8.6640625" customWidth="1"/>
  </cols>
  <sheetData>
    <row r="2" spans="1:8" ht="17.399999999999999">
      <c r="A2" s="351" t="s">
        <v>347</v>
      </c>
      <c r="B2" s="335"/>
      <c r="C2" s="335"/>
      <c r="D2" s="335"/>
      <c r="E2" s="335"/>
      <c r="F2" s="335"/>
      <c r="G2" s="335"/>
      <c r="H2" s="335"/>
    </row>
    <row r="4" spans="1:8" ht="14.4">
      <c r="B4" s="157"/>
      <c r="C4" s="157"/>
      <c r="D4" s="157"/>
      <c r="E4" s="157"/>
      <c r="F4" s="157"/>
    </row>
    <row r="5" spans="1:8" ht="14.4">
      <c r="A5" s="74" t="s">
        <v>149</v>
      </c>
      <c r="B5" s="75" t="s">
        <v>152</v>
      </c>
      <c r="C5" s="75" t="s">
        <v>153</v>
      </c>
      <c r="D5" s="75" t="s">
        <v>154</v>
      </c>
      <c r="E5" s="75" t="s">
        <v>155</v>
      </c>
      <c r="F5" s="75" t="s">
        <v>156</v>
      </c>
      <c r="G5" s="75" t="s">
        <v>157</v>
      </c>
      <c r="H5" s="75" t="s">
        <v>158</v>
      </c>
    </row>
    <row r="6" spans="1:8" ht="14.4">
      <c r="A6" s="79" t="s">
        <v>348</v>
      </c>
      <c r="B6" s="76"/>
      <c r="C6" s="76"/>
      <c r="D6" s="76"/>
      <c r="E6" s="76"/>
      <c r="F6" s="76"/>
      <c r="G6" s="76"/>
      <c r="H6" s="76"/>
    </row>
    <row r="7" spans="1:8" ht="14.4">
      <c r="A7" s="76"/>
      <c r="B7" s="76"/>
      <c r="C7" s="76"/>
      <c r="D7" s="76"/>
      <c r="E7" s="76"/>
      <c r="F7" s="76"/>
      <c r="G7" s="76"/>
      <c r="H7" s="76"/>
    </row>
    <row r="8" spans="1:8" ht="14.4">
      <c r="A8" s="76" t="s">
        <v>349</v>
      </c>
      <c r="B8" s="78">
        <f>'12.Facility 1 - Trading'!D229</f>
        <v>28214486.999999996</v>
      </c>
      <c r="C8" s="78">
        <f>'12.Facility 1 - Trading'!E229</f>
        <v>31184432.999999996</v>
      </c>
      <c r="D8" s="78">
        <f>'12.Facility 1 - Trading'!F229</f>
        <v>32743654.649999999</v>
      </c>
      <c r="E8" s="78">
        <f>'12.Facility 1 - Trading'!G229</f>
        <v>34380837.3825</v>
      </c>
      <c r="F8" s="78">
        <f>'12.Facility 1 - Trading'!H229</f>
        <v>36099879.251625001</v>
      </c>
      <c r="G8" s="78">
        <f>'12.Facility 1 - Trading'!I229</f>
        <v>37904873.214206256</v>
      </c>
      <c r="H8" s="78">
        <f>'12.Facility 1 - Trading'!J229</f>
        <v>39800116.874916568</v>
      </c>
    </row>
    <row r="9" spans="1:8" ht="14.4">
      <c r="A9" s="323" t="s">
        <v>773</v>
      </c>
      <c r="B9" s="78">
        <f>'13.Facility 2 Grain Processing'!D89</f>
        <v>23328162</v>
      </c>
      <c r="C9" s="78">
        <f>'13.Facility 2 Grain Processing'!E89</f>
        <v>25783758</v>
      </c>
      <c r="D9" s="78">
        <f>'13.Facility 2 Grain Processing'!F89</f>
        <v>27072945.899999999</v>
      </c>
      <c r="E9" s="78">
        <f>'13.Facility 2 Grain Processing'!G89</f>
        <v>28426593.195000004</v>
      </c>
      <c r="F9" s="78">
        <f>'13.Facility 2 Grain Processing'!H89</f>
        <v>29847922.854750004</v>
      </c>
      <c r="G9" s="78">
        <f>'13.Facility 2 Grain Processing'!I89</f>
        <v>31340318.997487511</v>
      </c>
      <c r="H9" s="78">
        <f>'13.Facility 2 Grain Processing'!J89</f>
        <v>32907334.947361887</v>
      </c>
    </row>
    <row r="10" spans="1:8" ht="14.4">
      <c r="A10" s="76" t="s">
        <v>350</v>
      </c>
      <c r="B10" s="78">
        <f>'14. Facility 3 Warehouse'!D23</f>
        <v>0</v>
      </c>
      <c r="C10" s="78">
        <f>'14. Facility 3 Warehouse'!E23</f>
        <v>0</v>
      </c>
      <c r="D10" s="78">
        <f>'14. Facility 3 Warehouse'!F23</f>
        <v>0</v>
      </c>
      <c r="E10" s="78">
        <f>'14. Facility 3 Warehouse'!G23</f>
        <v>0</v>
      </c>
      <c r="F10" s="78">
        <f>'14. Facility 3 Warehouse'!H23</f>
        <v>0</v>
      </c>
      <c r="G10" s="78">
        <f>'14. Facility 3 Warehouse'!I23</f>
        <v>0</v>
      </c>
      <c r="H10" s="78">
        <f>'14. Facility 3 Warehouse'!J23</f>
        <v>0</v>
      </c>
    </row>
    <row r="11" spans="1:8" ht="14.4">
      <c r="A11" s="76" t="s">
        <v>351</v>
      </c>
      <c r="B11" s="78">
        <f>'15. Facility 4 Custom Hiring'!E39</f>
        <v>0</v>
      </c>
      <c r="C11" s="78">
        <f>'15. Facility 4 Custom Hiring'!F39</f>
        <v>0</v>
      </c>
      <c r="D11" s="78">
        <f>'15. Facility 4 Custom Hiring'!G39</f>
        <v>0</v>
      </c>
      <c r="E11" s="78">
        <f>'15. Facility 4 Custom Hiring'!H39</f>
        <v>0</v>
      </c>
      <c r="F11" s="78">
        <f>'15. Facility 4 Custom Hiring'!I39</f>
        <v>0</v>
      </c>
      <c r="G11" s="78">
        <f>'15. Facility 4 Custom Hiring'!J39</f>
        <v>0</v>
      </c>
      <c r="H11" s="78">
        <f>'15. Facility 4 Custom Hiring'!K39</f>
        <v>0</v>
      </c>
    </row>
    <row r="12" spans="1:8" ht="14.4">
      <c r="A12" s="76" t="s">
        <v>352</v>
      </c>
      <c r="B12" s="78">
        <f>'16.Facility 5 Agri Input'!D191</f>
        <v>10017393.75</v>
      </c>
      <c r="C12" s="78">
        <f>'16.Facility 5 Agri Input'!E191</f>
        <v>11880953.437500002</v>
      </c>
      <c r="D12" s="78">
        <f>'16.Facility 5 Agri Input'!F191</f>
        <v>13369266.421875002</v>
      </c>
      <c r="E12" s="78">
        <f>'16.Facility 5 Agri Input'!G191</f>
        <v>14976708.321093755</v>
      </c>
      <c r="F12" s="78">
        <f>'16.Facility 5 Agri Input'!H191</f>
        <v>16711471.244179696</v>
      </c>
      <c r="G12" s="78">
        <f>'16.Facility 5 Agri Input'!I191</f>
        <v>18582268.688771494</v>
      </c>
      <c r="H12" s="78">
        <f>'16.Facility 5 Agri Input'!J191</f>
        <v>20598367.199712027</v>
      </c>
    </row>
    <row r="13" spans="1:8" ht="14.4">
      <c r="A13" s="76" t="s">
        <v>353</v>
      </c>
      <c r="B13" s="78">
        <f>'17.Facility 6 Horti Processing '!D159</f>
        <v>0</v>
      </c>
      <c r="C13" s="78">
        <f>'17.Facility 6 Horti Processing '!E159</f>
        <v>0</v>
      </c>
      <c r="D13" s="78">
        <f>'17.Facility 6 Horti Processing '!F159</f>
        <v>0</v>
      </c>
      <c r="E13" s="78">
        <f>'17.Facility 6 Horti Processing '!G159</f>
        <v>0</v>
      </c>
      <c r="F13" s="78">
        <f>'17.Facility 6 Horti Processing '!H159</f>
        <v>0</v>
      </c>
      <c r="G13" s="78">
        <f>'17.Facility 6 Horti Processing '!I159</f>
        <v>0</v>
      </c>
      <c r="H13" s="78">
        <f>'17.Facility 6 Horti Processing '!J159</f>
        <v>0</v>
      </c>
    </row>
    <row r="14" spans="1:8" ht="14.4">
      <c r="A14" s="76"/>
      <c r="B14" s="78"/>
      <c r="C14" s="78"/>
      <c r="D14" s="78"/>
      <c r="E14" s="78"/>
      <c r="F14" s="78"/>
      <c r="G14" s="78"/>
      <c r="H14" s="78"/>
    </row>
    <row r="15" spans="1:8" ht="14.4">
      <c r="A15" s="79" t="s">
        <v>354</v>
      </c>
      <c r="B15" s="80">
        <f t="shared" ref="B15:H15" si="0">SUM(B8:B14)</f>
        <v>61560042.75</v>
      </c>
      <c r="C15" s="80">
        <f t="shared" si="0"/>
        <v>68849144.4375</v>
      </c>
      <c r="D15" s="80">
        <f t="shared" si="0"/>
        <v>73185866.971874997</v>
      </c>
      <c r="E15" s="80">
        <f t="shared" si="0"/>
        <v>77784138.898593754</v>
      </c>
      <c r="F15" s="80">
        <f t="shared" si="0"/>
        <v>82659273.350554705</v>
      </c>
      <c r="G15" s="80">
        <f t="shared" si="0"/>
        <v>87827460.90046525</v>
      </c>
      <c r="H15" s="80">
        <f t="shared" si="0"/>
        <v>93305819.021990478</v>
      </c>
    </row>
    <row r="16" spans="1:8" ht="14.4">
      <c r="A16" s="76"/>
      <c r="B16" s="78"/>
      <c r="C16" s="78"/>
      <c r="D16" s="78"/>
      <c r="E16" s="78"/>
      <c r="F16" s="78"/>
      <c r="G16" s="78"/>
      <c r="H16" s="78"/>
    </row>
    <row r="17" spans="1:8" ht="14.4">
      <c r="A17" s="79" t="s">
        <v>355</v>
      </c>
      <c r="B17" s="78"/>
      <c r="C17" s="78"/>
      <c r="D17" s="78"/>
      <c r="E17" s="78"/>
      <c r="F17" s="78"/>
      <c r="G17" s="78"/>
      <c r="H17" s="78"/>
    </row>
    <row r="18" spans="1:8" ht="14.4">
      <c r="A18" s="76" t="str">
        <f t="shared" ref="A18:A23" si="1">A8</f>
        <v>Faclitiy 1 - Cleaning &amp; Grading</v>
      </c>
      <c r="B18" s="78">
        <f>'12.Facility 1 - Trading'!D292</f>
        <v>27160051.395959996</v>
      </c>
      <c r="C18" s="78">
        <f>'12.Facility 1 - Trading'!E292</f>
        <v>29941740.986597996</v>
      </c>
      <c r="D18" s="78">
        <f>'12.Facility 1 - Trading'!F292</f>
        <v>31438828.035927899</v>
      </c>
      <c r="E18" s="78">
        <f>'12.Facility 1 - Trading'!G292</f>
        <v>33010769.437724292</v>
      </c>
      <c r="F18" s="78">
        <f>'12.Facility 1 - Trading'!H292</f>
        <v>34661307.909610517</v>
      </c>
      <c r="G18" s="78">
        <f>'12.Facility 1 - Trading'!I292</f>
        <v>36394373.305091038</v>
      </c>
      <c r="H18" s="78">
        <f>'12.Facility 1 - Trading'!J292</f>
        <v>38214091.970345594</v>
      </c>
    </row>
    <row r="19" spans="1:8" ht="14.4">
      <c r="A19" s="76" t="str">
        <f t="shared" si="1"/>
        <v>Faclitiy 2 - Processing Unit- Turmeric Processing</v>
      </c>
      <c r="B19" s="78">
        <f>'13.Facility 2 Grain Processing'!D107</f>
        <v>20467954.151999999</v>
      </c>
      <c r="C19" s="78">
        <f>'13.Facility 2 Grain Processing'!E107</f>
        <v>22440717.867600001</v>
      </c>
      <c r="D19" s="78">
        <f>'13.Facility 2 Grain Processing'!F107</f>
        <v>23562753.760979999</v>
      </c>
      <c r="E19" s="78">
        <f>'13.Facility 2 Grain Processing'!G107</f>
        <v>24740891.449029006</v>
      </c>
      <c r="F19" s="78">
        <f>'13.Facility 2 Grain Processing'!H107</f>
        <v>25977936.021480456</v>
      </c>
      <c r="G19" s="78">
        <f>'13.Facility 2 Grain Processing'!I107</f>
        <v>27276832.822554477</v>
      </c>
      <c r="H19" s="78">
        <f>'13.Facility 2 Grain Processing'!J107</f>
        <v>28640674.463682201</v>
      </c>
    </row>
    <row r="20" spans="1:8" ht="14.4">
      <c r="A20" s="76" t="str">
        <f t="shared" si="1"/>
        <v>Faclitiy 3 - Warehouse</v>
      </c>
      <c r="B20" s="78">
        <f>'14. Facility 3 Warehouse'!D34</f>
        <v>0</v>
      </c>
      <c r="C20" s="78">
        <f>'14. Facility 3 Warehouse'!E34</f>
        <v>0</v>
      </c>
      <c r="D20" s="78">
        <f>'14. Facility 3 Warehouse'!F34</f>
        <v>0</v>
      </c>
      <c r="E20" s="78">
        <f>'14. Facility 3 Warehouse'!G34</f>
        <v>0</v>
      </c>
      <c r="F20" s="78">
        <f>'14. Facility 3 Warehouse'!H34</f>
        <v>0</v>
      </c>
      <c r="G20" s="78">
        <f>'14. Facility 3 Warehouse'!I34</f>
        <v>0</v>
      </c>
      <c r="H20" s="78">
        <f>'14. Facility 3 Warehouse'!J34</f>
        <v>0</v>
      </c>
    </row>
    <row r="21" spans="1:8" ht="15.75" customHeight="1">
      <c r="A21" s="76" t="str">
        <f t="shared" si="1"/>
        <v xml:space="preserve">Faclitiy 4 - Custom Hiring </v>
      </c>
      <c r="B21" s="78">
        <f>'15. Facility 4 Custom Hiring'!E49</f>
        <v>0</v>
      </c>
      <c r="C21" s="78">
        <f>'15. Facility 4 Custom Hiring'!F49</f>
        <v>0</v>
      </c>
      <c r="D21" s="78">
        <f>'15. Facility 4 Custom Hiring'!G49</f>
        <v>0</v>
      </c>
      <c r="E21" s="78">
        <f>'15. Facility 4 Custom Hiring'!H49</f>
        <v>0</v>
      </c>
      <c r="F21" s="78">
        <f>'15. Facility 4 Custom Hiring'!I49</f>
        <v>0</v>
      </c>
      <c r="G21" s="78">
        <f>'15. Facility 4 Custom Hiring'!J49</f>
        <v>0</v>
      </c>
      <c r="H21" s="78">
        <f>'15. Facility 4 Custom Hiring'!K49</f>
        <v>0</v>
      </c>
    </row>
    <row r="22" spans="1:8" ht="15.75" customHeight="1">
      <c r="A22" s="76" t="str">
        <f t="shared" si="1"/>
        <v>Faclitiy 5 - Agri Input Centre</v>
      </c>
      <c r="B22" s="78">
        <f>'16.Facility 5 Agri Input'!D262</f>
        <v>9868628.25</v>
      </c>
      <c r="C22" s="78">
        <f>'16.Facility 5 Agri Input'!E262</f>
        <v>11623777.425000003</v>
      </c>
      <c r="D22" s="78">
        <f>'16.Facility 5 Agri Input'!F262</f>
        <v>13079430.196875002</v>
      </c>
      <c r="E22" s="78">
        <f>'16.Facility 5 Agri Input'!G262</f>
        <v>14651588.802375004</v>
      </c>
      <c r="F22" s="78">
        <f>'16.Facility 5 Agri Input'!H262</f>
        <v>16348264.692932822</v>
      </c>
      <c r="G22" s="78">
        <f>'16.Facility 5 Agri Input'!I262</f>
        <v>18177979.200540479</v>
      </c>
      <c r="H22" s="78">
        <f>'16.Facility 5 Agri Input'!J262</f>
        <v>20149794.497176569</v>
      </c>
    </row>
    <row r="23" spans="1:8" ht="15.75" customHeight="1">
      <c r="A23" s="76" t="str">
        <f t="shared" si="1"/>
        <v>Facility 6 - Processing Unit - Horti Commodity</v>
      </c>
      <c r="B23" s="78">
        <f>'17.Facility 6 Horti Processing '!D177</f>
        <v>-949366.00800000003</v>
      </c>
      <c r="C23" s="78">
        <f>'17.Facility 6 Horti Processing '!E177</f>
        <v>-47468.300400000066</v>
      </c>
      <c r="D23" s="78">
        <f>'17.Facility 6 Horti Processing '!F177</f>
        <v>-49841.715419999906</v>
      </c>
      <c r="E23" s="78">
        <f>'17.Facility 6 Horti Processing '!G177</f>
        <v>-52333.801191000268</v>
      </c>
      <c r="F23" s="78">
        <f>'17.Facility 6 Horti Processing '!H177</f>
        <v>-54950.491250549909</v>
      </c>
      <c r="G23" s="78">
        <f>'17.Facility 6 Horti Processing '!I177</f>
        <v>-57698.015813077567</v>
      </c>
      <c r="H23" s="78">
        <f>'17.Facility 6 Horti Processing '!J177</f>
        <v>-60582.916603731457</v>
      </c>
    </row>
    <row r="24" spans="1:8" ht="15.75" customHeight="1">
      <c r="A24" s="76"/>
      <c r="B24" s="78"/>
      <c r="C24" s="78"/>
      <c r="D24" s="78"/>
      <c r="E24" s="78"/>
      <c r="F24" s="78"/>
      <c r="G24" s="78"/>
      <c r="H24" s="78"/>
    </row>
    <row r="25" spans="1:8" ht="15.75" customHeight="1">
      <c r="A25" s="79" t="s">
        <v>356</v>
      </c>
      <c r="B25" s="80">
        <f t="shared" ref="B25:H25" si="2">SUM(B18:B24)</f>
        <v>56547267.789959997</v>
      </c>
      <c r="C25" s="80">
        <f t="shared" si="2"/>
        <v>63958767.978798002</v>
      </c>
      <c r="D25" s="80">
        <f t="shared" si="2"/>
        <v>68031170.278362915</v>
      </c>
      <c r="E25" s="80">
        <f t="shared" si="2"/>
        <v>72350915.887937307</v>
      </c>
      <c r="F25" s="80">
        <f t="shared" si="2"/>
        <v>76932558.13277325</v>
      </c>
      <c r="G25" s="80">
        <f t="shared" si="2"/>
        <v>81791487.312372908</v>
      </c>
      <c r="H25" s="80">
        <f t="shared" si="2"/>
        <v>86943978.014600635</v>
      </c>
    </row>
    <row r="26" spans="1:8" ht="15.75" customHeight="1">
      <c r="A26" s="76"/>
      <c r="B26" s="78"/>
      <c r="C26" s="78"/>
      <c r="D26" s="78"/>
      <c r="E26" s="78"/>
      <c r="F26" s="78"/>
      <c r="G26" s="78"/>
      <c r="H26" s="78"/>
    </row>
    <row r="27" spans="1:8" ht="15.75" customHeight="1">
      <c r="A27" s="79" t="s">
        <v>357</v>
      </c>
      <c r="B27" s="78"/>
      <c r="C27" s="78"/>
      <c r="D27" s="78"/>
      <c r="E27" s="78"/>
      <c r="F27" s="78"/>
      <c r="G27" s="78"/>
      <c r="H27" s="78"/>
    </row>
    <row r="28" spans="1:8" ht="15.75" customHeight="1">
      <c r="A28" s="76" t="str">
        <f t="shared" ref="A28:A33" si="3">A18</f>
        <v>Faclitiy 1 - Cleaning &amp; Grading</v>
      </c>
      <c r="B28" s="78">
        <f>'12.Facility 1 - Trading'!D301</f>
        <v>0</v>
      </c>
      <c r="C28" s="78">
        <f>'12.Facility 1 - Trading'!E301</f>
        <v>0</v>
      </c>
      <c r="D28" s="78">
        <f>'12.Facility 1 - Trading'!F301</f>
        <v>0</v>
      </c>
      <c r="E28" s="78">
        <f>'12.Facility 1 - Trading'!G301</f>
        <v>0</v>
      </c>
      <c r="F28" s="78">
        <f>'12.Facility 1 - Trading'!H301</f>
        <v>0</v>
      </c>
      <c r="G28" s="78">
        <f>'12.Facility 1 - Trading'!I301</f>
        <v>0</v>
      </c>
      <c r="H28" s="78">
        <f>'12.Facility 1 - Trading'!J301</f>
        <v>0</v>
      </c>
    </row>
    <row r="29" spans="1:8" ht="15.75" customHeight="1">
      <c r="A29" s="76" t="str">
        <f t="shared" si="3"/>
        <v>Faclitiy 2 - Processing Unit- Turmeric Processing</v>
      </c>
      <c r="B29" s="78">
        <f>'13.Facility 2 Grain Processing'!D115</f>
        <v>900000</v>
      </c>
      <c r="C29" s="78">
        <f>'13.Facility 2 Grain Processing'!E115</f>
        <v>945000</v>
      </c>
      <c r="D29" s="78">
        <f>'13.Facility 2 Grain Processing'!F115</f>
        <v>992250</v>
      </c>
      <c r="E29" s="78">
        <f>'13.Facility 2 Grain Processing'!G115</f>
        <v>1041862.5000000001</v>
      </c>
      <c r="F29" s="78">
        <f>'13.Facility 2 Grain Processing'!H115</f>
        <v>1093955.6250000002</v>
      </c>
      <c r="G29" s="78">
        <f>'13.Facility 2 Grain Processing'!I115</f>
        <v>1148653.4062500002</v>
      </c>
      <c r="H29" s="78">
        <f>'13.Facility 2 Grain Processing'!J115</f>
        <v>1206086.0765625003</v>
      </c>
    </row>
    <row r="30" spans="1:8" ht="15.75" customHeight="1">
      <c r="A30" s="76" t="str">
        <f t="shared" si="3"/>
        <v>Faclitiy 3 - Warehouse</v>
      </c>
      <c r="B30" s="78">
        <f>'14. Facility 3 Warehouse'!D43</f>
        <v>0</v>
      </c>
      <c r="C30" s="78">
        <f>'14. Facility 3 Warehouse'!E43</f>
        <v>0</v>
      </c>
      <c r="D30" s="78">
        <f>'14. Facility 3 Warehouse'!F43</f>
        <v>0</v>
      </c>
      <c r="E30" s="78">
        <f>'14. Facility 3 Warehouse'!G43</f>
        <v>0</v>
      </c>
      <c r="F30" s="78">
        <f>'14. Facility 3 Warehouse'!H43</f>
        <v>0</v>
      </c>
      <c r="G30" s="78">
        <f>'14. Facility 3 Warehouse'!I43</f>
        <v>0</v>
      </c>
      <c r="H30" s="78">
        <f>'14. Facility 3 Warehouse'!J43</f>
        <v>0</v>
      </c>
    </row>
    <row r="31" spans="1:8" ht="15.75" customHeight="1">
      <c r="A31" s="76" t="str">
        <f t="shared" si="3"/>
        <v xml:space="preserve">Faclitiy 4 - Custom Hiring </v>
      </c>
      <c r="B31" s="78">
        <f>'15. Facility 4 Custom Hiring'!E56</f>
        <v>0</v>
      </c>
      <c r="C31" s="78">
        <f>'15. Facility 4 Custom Hiring'!F56</f>
        <v>0</v>
      </c>
      <c r="D31" s="78">
        <f>'15. Facility 4 Custom Hiring'!G56</f>
        <v>0</v>
      </c>
      <c r="E31" s="78">
        <f>'15. Facility 4 Custom Hiring'!H56</f>
        <v>0</v>
      </c>
      <c r="F31" s="78">
        <f>'15. Facility 4 Custom Hiring'!I56</f>
        <v>0</v>
      </c>
      <c r="G31" s="78">
        <f>'15. Facility 4 Custom Hiring'!J56</f>
        <v>0</v>
      </c>
      <c r="H31" s="78">
        <f>'15. Facility 4 Custom Hiring'!K56</f>
        <v>0</v>
      </c>
    </row>
    <row r="32" spans="1:8" ht="15.75" customHeight="1">
      <c r="A32" s="76" t="str">
        <f t="shared" si="3"/>
        <v>Faclitiy 5 - Agri Input Centre</v>
      </c>
      <c r="B32" s="78">
        <f>'16.Facility 5 Agri Input'!D273</f>
        <v>0</v>
      </c>
      <c r="C32" s="78">
        <f>'16.Facility 5 Agri Input'!E273</f>
        <v>0</v>
      </c>
      <c r="D32" s="78">
        <f>'16.Facility 5 Agri Input'!F273</f>
        <v>0</v>
      </c>
      <c r="E32" s="78">
        <f>'16.Facility 5 Agri Input'!G273</f>
        <v>0</v>
      </c>
      <c r="F32" s="78">
        <f>'16.Facility 5 Agri Input'!H273</f>
        <v>0</v>
      </c>
      <c r="G32" s="78">
        <f>'16.Facility 5 Agri Input'!I273</f>
        <v>0</v>
      </c>
      <c r="H32" s="78">
        <f>'16.Facility 5 Agri Input'!J273</f>
        <v>0</v>
      </c>
    </row>
    <row r="33" spans="1:10" ht="15.75" customHeight="1">
      <c r="A33" s="76" t="str">
        <f t="shared" si="3"/>
        <v>Facility 6 - Processing Unit - Horti Commodity</v>
      </c>
      <c r="B33" s="78">
        <f>'17.Facility 6 Horti Processing '!D185</f>
        <v>0</v>
      </c>
      <c r="C33" s="78">
        <f>'17.Facility 6 Horti Processing '!E185</f>
        <v>0</v>
      </c>
      <c r="D33" s="78">
        <f>'17.Facility 6 Horti Processing '!F185</f>
        <v>0</v>
      </c>
      <c r="E33" s="78">
        <f>'17.Facility 6 Horti Processing '!G185</f>
        <v>0</v>
      </c>
      <c r="F33" s="78">
        <f>'17.Facility 6 Horti Processing '!H185</f>
        <v>0</v>
      </c>
      <c r="G33" s="78">
        <f>'17.Facility 6 Horti Processing '!I185</f>
        <v>0</v>
      </c>
      <c r="H33" s="78">
        <f>'17.Facility 6 Horti Processing '!J185</f>
        <v>0</v>
      </c>
    </row>
    <row r="34" spans="1:10" ht="15.75" customHeight="1">
      <c r="A34" s="76"/>
      <c r="B34" s="78"/>
      <c r="C34" s="78"/>
      <c r="D34" s="78"/>
      <c r="E34" s="78"/>
      <c r="F34" s="78"/>
      <c r="G34" s="78"/>
      <c r="H34" s="78"/>
    </row>
    <row r="35" spans="1:10" ht="15.75" customHeight="1">
      <c r="A35" s="76" t="s">
        <v>358</v>
      </c>
      <c r="B35" s="78">
        <f>'3.Other Exp &amp; Taxes'!E23</f>
        <v>569200</v>
      </c>
      <c r="C35" s="78">
        <f>'3.Other Exp &amp; Taxes'!F23</f>
        <v>597660</v>
      </c>
      <c r="D35" s="78">
        <f>'3.Other Exp &amp; Taxes'!G23</f>
        <v>627543</v>
      </c>
      <c r="E35" s="78">
        <f>'3.Other Exp &amp; Taxes'!H23</f>
        <v>658920.15000000014</v>
      </c>
      <c r="F35" s="78">
        <f>'3.Other Exp &amp; Taxes'!I23</f>
        <v>691866.1575000002</v>
      </c>
      <c r="G35" s="78">
        <f>'3.Other Exp &amp; Taxes'!J23</f>
        <v>726459.46537500015</v>
      </c>
      <c r="H35" s="78">
        <f>'3.Other Exp &amp; Taxes'!K23</f>
        <v>762782.43864375027</v>
      </c>
    </row>
    <row r="36" spans="1:10" ht="15.75" customHeight="1">
      <c r="A36" s="79" t="s">
        <v>359</v>
      </c>
      <c r="B36" s="80">
        <f t="shared" ref="B36:H36" si="4">SUM(B28:B35)</f>
        <v>1469200</v>
      </c>
      <c r="C36" s="80">
        <f t="shared" si="4"/>
        <v>1542660</v>
      </c>
      <c r="D36" s="80">
        <f t="shared" si="4"/>
        <v>1619793</v>
      </c>
      <c r="E36" s="80">
        <f t="shared" si="4"/>
        <v>1700782.6500000004</v>
      </c>
      <c r="F36" s="80">
        <f t="shared" si="4"/>
        <v>1785821.7825000004</v>
      </c>
      <c r="G36" s="80">
        <f t="shared" si="4"/>
        <v>1875112.8716250004</v>
      </c>
      <c r="H36" s="80">
        <f t="shared" si="4"/>
        <v>1968868.5152062506</v>
      </c>
    </row>
    <row r="37" spans="1:10" ht="15.75" customHeight="1">
      <c r="A37" s="76"/>
      <c r="B37" s="78"/>
      <c r="C37" s="78"/>
      <c r="D37" s="78"/>
      <c r="E37" s="78"/>
      <c r="F37" s="78"/>
      <c r="G37" s="78"/>
      <c r="H37" s="78"/>
    </row>
    <row r="38" spans="1:10" ht="15.75" customHeight="1">
      <c r="A38" s="79" t="s">
        <v>360</v>
      </c>
      <c r="B38" s="80">
        <f t="shared" ref="B38:H38" si="5">B25+B36</f>
        <v>58016467.789959997</v>
      </c>
      <c r="C38" s="80">
        <f t="shared" si="5"/>
        <v>65501427.978798002</v>
      </c>
      <c r="D38" s="80">
        <f t="shared" si="5"/>
        <v>69650963.278362915</v>
      </c>
      <c r="E38" s="80">
        <f t="shared" si="5"/>
        <v>74051698.537937313</v>
      </c>
      <c r="F38" s="80">
        <f t="shared" si="5"/>
        <v>78718379.915273249</v>
      </c>
      <c r="G38" s="80">
        <f t="shared" si="5"/>
        <v>83666600.183997914</v>
      </c>
      <c r="H38" s="80">
        <f t="shared" si="5"/>
        <v>88912846.529806882</v>
      </c>
    </row>
    <row r="39" spans="1:10" ht="15.75" customHeight="1">
      <c r="A39" s="76"/>
      <c r="B39" s="78"/>
      <c r="C39" s="78"/>
      <c r="D39" s="78"/>
      <c r="E39" s="78"/>
      <c r="F39" s="78"/>
      <c r="G39" s="78"/>
      <c r="H39" s="78"/>
    </row>
    <row r="40" spans="1:10" ht="15.75" customHeight="1">
      <c r="A40" s="79" t="s">
        <v>361</v>
      </c>
      <c r="B40" s="80">
        <f t="shared" ref="B40:H40" si="6">B15-B38</f>
        <v>3543574.9600400031</v>
      </c>
      <c r="C40" s="80">
        <f t="shared" si="6"/>
        <v>3347716.458701998</v>
      </c>
      <c r="D40" s="80">
        <f t="shared" si="6"/>
        <v>3534903.6935120821</v>
      </c>
      <c r="E40" s="80">
        <f t="shared" si="6"/>
        <v>3732440.3606564403</v>
      </c>
      <c r="F40" s="80">
        <f t="shared" si="6"/>
        <v>3940893.4352814555</v>
      </c>
      <c r="G40" s="80">
        <f t="shared" si="6"/>
        <v>4160860.7164673358</v>
      </c>
      <c r="H40" s="80">
        <f t="shared" si="6"/>
        <v>4392972.4921835959</v>
      </c>
      <c r="J40" s="158">
        <f>B49+B42+B43</f>
        <v>2795070.9424384944</v>
      </c>
    </row>
    <row r="41" spans="1:10" ht="15.75" customHeight="1">
      <c r="A41" s="76"/>
      <c r="B41" s="78"/>
      <c r="C41" s="78"/>
      <c r="D41" s="78"/>
      <c r="E41" s="78"/>
      <c r="F41" s="78"/>
      <c r="G41" s="78"/>
      <c r="H41" s="78"/>
      <c r="J41" s="159">
        <f>'5.Closing Stock &amp; W Capital'!E56</f>
        <v>1028607.0621553971</v>
      </c>
    </row>
    <row r="42" spans="1:10" ht="15.75" customHeight="1">
      <c r="A42" s="76" t="s">
        <v>178</v>
      </c>
      <c r="B42" s="78">
        <f>'3.Other Exp &amp; Taxes'!C66</f>
        <v>449062.26</v>
      </c>
      <c r="C42" s="78">
        <f>'3.Other Exp &amp; Taxes'!D66</f>
        <v>449062.26</v>
      </c>
      <c r="D42" s="78">
        <f>'3.Other Exp &amp; Taxes'!E66</f>
        <v>449062.26</v>
      </c>
      <c r="E42" s="78">
        <f>'3.Other Exp &amp; Taxes'!F66</f>
        <v>449062.26</v>
      </c>
      <c r="F42" s="78">
        <f>'3.Other Exp &amp; Taxes'!G66</f>
        <v>449062.26</v>
      </c>
      <c r="G42" s="78">
        <f>'3.Other Exp &amp; Taxes'!H66</f>
        <v>449062.26</v>
      </c>
      <c r="H42" s="78">
        <f>'3.Other Exp &amp; Taxes'!I66</f>
        <v>449062.26</v>
      </c>
      <c r="J42" s="158">
        <f>J40+J41</f>
        <v>3823678.0045938916</v>
      </c>
    </row>
    <row r="43" spans="1:10" ht="15.75" customHeight="1">
      <c r="A43" s="76" t="s">
        <v>362</v>
      </c>
      <c r="B43" s="78">
        <f>'3.Other Exp &amp; Taxes'!C86</f>
        <v>92600</v>
      </c>
      <c r="C43" s="78">
        <f>'3.Other Exp &amp; Taxes'!D86</f>
        <v>92600</v>
      </c>
      <c r="D43" s="78">
        <f>'3.Other Exp &amp; Taxes'!E86</f>
        <v>92600</v>
      </c>
      <c r="E43" s="78">
        <f>'3.Other Exp &amp; Taxes'!F86</f>
        <v>92600</v>
      </c>
      <c r="F43" s="78">
        <f>'3.Other Exp &amp; Taxes'!G86</f>
        <v>92600</v>
      </c>
      <c r="G43" s="78">
        <f>'3.Other Exp &amp; Taxes'!H86</f>
        <v>0</v>
      </c>
      <c r="H43" s="78">
        <f>'3.Other Exp &amp; Taxes'!I86</f>
        <v>0</v>
      </c>
    </row>
    <row r="44" spans="1:10" ht="15.75" customHeight="1">
      <c r="A44" s="76"/>
      <c r="B44" s="78"/>
      <c r="C44" s="78"/>
      <c r="D44" s="78"/>
      <c r="E44" s="78"/>
      <c r="F44" s="78"/>
      <c r="G44" s="78"/>
      <c r="H44" s="78"/>
    </row>
    <row r="45" spans="1:10" ht="15.75" customHeight="1">
      <c r="A45" s="79" t="s">
        <v>363</v>
      </c>
      <c r="B45" s="80">
        <f t="shared" ref="B45:H45" si="7">B40-B42-B43</f>
        <v>3001912.7000400033</v>
      </c>
      <c r="C45" s="80">
        <f t="shared" si="7"/>
        <v>2806054.1987019982</v>
      </c>
      <c r="D45" s="80">
        <f t="shared" si="7"/>
        <v>2993241.4335120823</v>
      </c>
      <c r="E45" s="80">
        <f t="shared" si="7"/>
        <v>3190778.1006564405</v>
      </c>
      <c r="F45" s="80">
        <f t="shared" si="7"/>
        <v>3399231.1752814557</v>
      </c>
      <c r="G45" s="80">
        <f t="shared" si="7"/>
        <v>3711798.456467336</v>
      </c>
      <c r="H45" s="80">
        <f t="shared" si="7"/>
        <v>3943910.2321835961</v>
      </c>
    </row>
    <row r="46" spans="1:10" ht="15.75" customHeight="1">
      <c r="A46" s="76"/>
      <c r="B46" s="78"/>
      <c r="C46" s="78"/>
      <c r="D46" s="78"/>
      <c r="E46" s="78"/>
      <c r="F46" s="78"/>
      <c r="G46" s="78"/>
      <c r="H46" s="78"/>
    </row>
    <row r="47" spans="1:10" ht="15.75" customHeight="1">
      <c r="A47" s="76" t="s">
        <v>364</v>
      </c>
      <c r="B47" s="78">
        <f>'8.Cash Flow '!C26+'8.Cash Flow '!C28</f>
        <v>748504.01760150865</v>
      </c>
      <c r="C47" s="78">
        <f>'8.Cash Flow '!D26+'8.Cash Flow '!D28</f>
        <v>874358.85931795719</v>
      </c>
      <c r="D47" s="78">
        <f>'8.Cash Flow '!E26+'8.Cash Flow '!E28</f>
        <v>861403.24649803154</v>
      </c>
      <c r="E47" s="78">
        <f>'8.Cash Flow '!F26+'8.Cash Flow '!F28</f>
        <v>844578.66298604163</v>
      </c>
      <c r="F47" s="78">
        <f>'8.Cash Flow '!G26+'8.Cash Flow '!G28</f>
        <v>823256.88862731645</v>
      </c>
      <c r="G47" s="78">
        <f>'8.Cash Flow '!H26+'8.Cash Flow '!H28</f>
        <v>796721.84013089596</v>
      </c>
      <c r="H47" s="78">
        <f>'8.Cash Flow '!I26+'8.Cash Flow '!I28</f>
        <v>764157.9527595758</v>
      </c>
    </row>
    <row r="48" spans="1:10" ht="15.75" customHeight="1">
      <c r="A48" s="76"/>
      <c r="B48" s="78"/>
      <c r="C48" s="78"/>
      <c r="D48" s="78"/>
      <c r="E48" s="78"/>
      <c r="F48" s="78"/>
      <c r="G48" s="78"/>
      <c r="H48" s="78"/>
    </row>
    <row r="49" spans="1:9" ht="15.75" customHeight="1">
      <c r="A49" s="76" t="s">
        <v>365</v>
      </c>
      <c r="B49" s="78">
        <f t="shared" ref="B49:H49" si="8">B45-B47</f>
        <v>2253408.6824384946</v>
      </c>
      <c r="C49" s="78">
        <f t="shared" si="8"/>
        <v>1931695.339384041</v>
      </c>
      <c r="D49" s="78">
        <f t="shared" si="8"/>
        <v>2131838.1870140508</v>
      </c>
      <c r="E49" s="78">
        <f t="shared" si="8"/>
        <v>2346199.437670399</v>
      </c>
      <c r="F49" s="78">
        <f t="shared" si="8"/>
        <v>2575974.2866541394</v>
      </c>
      <c r="G49" s="78">
        <f t="shared" si="8"/>
        <v>2915076.6163364402</v>
      </c>
      <c r="H49" s="78">
        <f t="shared" si="8"/>
        <v>3179752.2794240201</v>
      </c>
    </row>
    <row r="50" spans="1:9" ht="15.75" customHeight="1">
      <c r="A50" s="76" t="s">
        <v>366</v>
      </c>
      <c r="B50" s="78">
        <f>'3.Other Exp &amp; Taxes'!B99</f>
        <v>410953.64503400854</v>
      </c>
      <c r="C50" s="78">
        <f>'3.Other Exp &amp; Taxes'!C99</f>
        <v>371330.20583985071</v>
      </c>
      <c r="D50" s="78">
        <f>'3.Other Exp &amp; Taxes'!D99</f>
        <v>459893.40072365315</v>
      </c>
      <c r="E50" s="78">
        <f>'3.Other Exp &amp; Taxes'!E99</f>
        <v>546217.38831930375</v>
      </c>
      <c r="F50" s="78">
        <f>'3.Other Exp &amp; Taxes'!F99</f>
        <v>631756.81860632636</v>
      </c>
      <c r="G50" s="78">
        <f>'3.Other Exp &amp; Taxes'!G99</f>
        <v>741793.14848328696</v>
      </c>
      <c r="H50" s="78">
        <f>'3.Other Exp &amp; Taxes'!H99</f>
        <v>829220.19657858589</v>
      </c>
    </row>
    <row r="51" spans="1:9" ht="15.75" customHeight="1">
      <c r="A51" s="79" t="s">
        <v>367</v>
      </c>
      <c r="B51" s="78">
        <f t="shared" ref="B51:H51" si="9">B49-B50</f>
        <v>1842455.037404486</v>
      </c>
      <c r="C51" s="78">
        <f t="shared" si="9"/>
        <v>1560365.1335441903</v>
      </c>
      <c r="D51" s="78">
        <f t="shared" si="9"/>
        <v>1671944.7862903976</v>
      </c>
      <c r="E51" s="78">
        <f t="shared" si="9"/>
        <v>1799982.0493510952</v>
      </c>
      <c r="F51" s="78">
        <f t="shared" si="9"/>
        <v>1944217.468047813</v>
      </c>
      <c r="G51" s="78">
        <f t="shared" si="9"/>
        <v>2173283.4678531531</v>
      </c>
      <c r="H51" s="78">
        <f t="shared" si="9"/>
        <v>2350532.0828454341</v>
      </c>
    </row>
    <row r="52" spans="1:9" ht="15.75" customHeight="1">
      <c r="A52" s="71"/>
      <c r="B52" s="118"/>
      <c r="C52" s="118"/>
      <c r="D52" s="118"/>
      <c r="E52" s="118"/>
      <c r="F52" s="118"/>
      <c r="G52" s="118"/>
      <c r="H52" s="118"/>
    </row>
    <row r="53" spans="1:9" ht="15.75" customHeight="1">
      <c r="A53" s="71" t="s">
        <v>368</v>
      </c>
      <c r="B53" s="118">
        <f>B51</f>
        <v>1842455.037404486</v>
      </c>
      <c r="C53" s="118">
        <f t="shared" ref="C53:H53" si="10">B53+C51</f>
        <v>3402820.1709486763</v>
      </c>
      <c r="D53" s="118">
        <f t="shared" si="10"/>
        <v>5074764.9572390737</v>
      </c>
      <c r="E53" s="118">
        <f t="shared" si="10"/>
        <v>6874747.0065901689</v>
      </c>
      <c r="F53" s="118">
        <f t="shared" si="10"/>
        <v>8818964.4746379815</v>
      </c>
      <c r="G53" s="118">
        <f t="shared" si="10"/>
        <v>10992247.942491135</v>
      </c>
      <c r="H53" s="118">
        <f t="shared" si="10"/>
        <v>13342780.025336569</v>
      </c>
    </row>
    <row r="54" spans="1:9" ht="15.75" customHeight="1"/>
    <row r="55" spans="1:9" ht="15.75" customHeight="1"/>
    <row r="56" spans="1:9" ht="32.25" customHeight="1">
      <c r="A56" s="384" t="s">
        <v>369</v>
      </c>
      <c r="B56" s="335"/>
      <c r="C56" s="335"/>
      <c r="D56" s="335"/>
      <c r="E56" s="335"/>
      <c r="F56" s="335"/>
      <c r="G56" s="335"/>
      <c r="H56" s="335"/>
      <c r="I56" s="335"/>
    </row>
    <row r="57" spans="1:9" ht="15.75" customHeight="1"/>
    <row r="58" spans="1:9" ht="15.75" customHeight="1">
      <c r="A58" s="160"/>
    </row>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I56"/>
  </mergeCells>
  <pageMargins left="0.7" right="0.7" top="0.75" bottom="0.75" header="0" footer="0"/>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topLeftCell="A35" workbookViewId="0">
      <selection activeCell="A2" sqref="A2:I50"/>
    </sheetView>
  </sheetViews>
  <sheetFormatPr defaultColWidth="14.44140625" defaultRowHeight="15" customHeight="1"/>
  <cols>
    <col min="1" max="1" width="37.33203125" customWidth="1"/>
    <col min="2" max="2" width="18.44140625" customWidth="1"/>
    <col min="3" max="3" width="12.44140625" customWidth="1"/>
    <col min="4" max="6" width="13.5546875" customWidth="1"/>
    <col min="7" max="8" width="12.44140625" customWidth="1"/>
    <col min="9" max="9" width="9.109375" customWidth="1"/>
    <col min="10" max="10" width="32.88671875" customWidth="1"/>
    <col min="11" max="16" width="8.6640625" customWidth="1"/>
    <col min="17" max="17" width="10.109375" customWidth="1"/>
    <col min="18" max="18" width="9.109375" customWidth="1"/>
  </cols>
  <sheetData>
    <row r="1" spans="1:18" ht="14.4">
      <c r="A1" s="371"/>
      <c r="B1" s="335"/>
      <c r="C1" s="335"/>
      <c r="D1" s="335"/>
      <c r="E1" s="335"/>
      <c r="F1" s="335"/>
      <c r="G1" s="161"/>
      <c r="H1" s="161"/>
      <c r="I1" s="161"/>
      <c r="J1" s="161"/>
      <c r="K1" s="161"/>
      <c r="L1" s="161"/>
      <c r="M1" s="161"/>
      <c r="N1" s="161"/>
      <c r="O1" s="161"/>
      <c r="P1" s="161"/>
      <c r="Q1" s="161"/>
      <c r="R1" s="161"/>
    </row>
    <row r="2" spans="1:18" ht="17.399999999999999">
      <c r="A2" s="385" t="s">
        <v>370</v>
      </c>
      <c r="B2" s="335"/>
      <c r="C2" s="335"/>
      <c r="D2" s="335"/>
      <c r="E2" s="335"/>
      <c r="F2" s="335"/>
      <c r="G2" s="335"/>
      <c r="H2" s="335"/>
      <c r="I2" s="162"/>
      <c r="J2" s="161"/>
      <c r="K2" s="161"/>
      <c r="L2" s="161"/>
      <c r="M2" s="161"/>
      <c r="N2" s="161"/>
      <c r="O2" s="161"/>
      <c r="P2" s="161"/>
      <c r="Q2" s="161"/>
      <c r="R2" s="161"/>
    </row>
    <row r="3" spans="1:18" ht="14.4">
      <c r="A3" s="163"/>
      <c r="B3" s="164"/>
      <c r="C3" s="164"/>
      <c r="D3" s="164"/>
      <c r="E3" s="164"/>
      <c r="F3" s="164"/>
      <c r="G3" s="161"/>
      <c r="H3" s="161"/>
      <c r="I3" s="161"/>
      <c r="J3" s="161"/>
      <c r="K3" s="161"/>
      <c r="L3" s="161"/>
      <c r="M3" s="161"/>
      <c r="N3" s="161"/>
      <c r="O3" s="161"/>
      <c r="P3" s="161"/>
      <c r="Q3" s="161"/>
      <c r="R3" s="161"/>
    </row>
    <row r="4" spans="1:18" ht="14.4">
      <c r="A4" s="165" t="s">
        <v>149</v>
      </c>
      <c r="B4" s="166" t="s">
        <v>152</v>
      </c>
      <c r="C4" s="166" t="s">
        <v>153</v>
      </c>
      <c r="D4" s="166" t="s">
        <v>154</v>
      </c>
      <c r="E4" s="166" t="s">
        <v>155</v>
      </c>
      <c r="F4" s="166" t="s">
        <v>156</v>
      </c>
      <c r="G4" s="75" t="s">
        <v>157</v>
      </c>
      <c r="H4" s="75" t="s">
        <v>158</v>
      </c>
      <c r="I4" s="161"/>
      <c r="J4" s="161"/>
      <c r="K4" s="161"/>
      <c r="L4" s="161"/>
      <c r="M4" s="161"/>
      <c r="N4" s="161"/>
      <c r="O4" s="161"/>
      <c r="P4" s="161"/>
      <c r="Q4" s="161"/>
      <c r="R4" s="161"/>
    </row>
    <row r="5" spans="1:18" ht="14.4">
      <c r="A5" s="167"/>
      <c r="B5" s="168"/>
      <c r="C5" s="169"/>
      <c r="D5" s="169"/>
      <c r="E5" s="169"/>
      <c r="F5" s="169"/>
      <c r="G5" s="169"/>
      <c r="H5" s="169"/>
      <c r="I5" s="161"/>
      <c r="J5" s="161"/>
      <c r="K5" s="161"/>
      <c r="L5" s="161"/>
      <c r="M5" s="161"/>
      <c r="N5" s="161"/>
      <c r="O5" s="161"/>
      <c r="P5" s="161"/>
      <c r="Q5" s="161"/>
      <c r="R5" s="161"/>
    </row>
    <row r="6" spans="1:18" ht="14.4">
      <c r="A6" s="170" t="s">
        <v>371</v>
      </c>
      <c r="B6" s="171"/>
      <c r="C6" s="171"/>
      <c r="D6" s="171"/>
      <c r="E6" s="171"/>
      <c r="F6" s="171"/>
      <c r="G6" s="171"/>
      <c r="H6" s="171"/>
      <c r="I6" s="161"/>
      <c r="J6" s="161"/>
      <c r="K6" s="161"/>
      <c r="L6" s="161"/>
      <c r="M6" s="161"/>
      <c r="N6" s="161"/>
      <c r="O6" s="161"/>
      <c r="P6" s="161"/>
      <c r="Q6" s="161"/>
      <c r="R6" s="161"/>
    </row>
    <row r="7" spans="1:18" ht="14.4">
      <c r="A7" s="172" t="s">
        <v>372</v>
      </c>
      <c r="B7" s="173"/>
      <c r="C7" s="173"/>
      <c r="D7" s="173"/>
      <c r="E7" s="173"/>
      <c r="F7" s="173"/>
      <c r="G7" s="173"/>
      <c r="H7" s="173"/>
      <c r="I7" s="161"/>
      <c r="J7" s="161"/>
      <c r="K7" s="161"/>
      <c r="L7" s="161"/>
      <c r="M7" s="161"/>
      <c r="N7" s="161"/>
      <c r="O7" s="161"/>
      <c r="P7" s="161"/>
      <c r="Q7" s="161"/>
      <c r="R7" s="161"/>
    </row>
    <row r="8" spans="1:18" ht="14.4">
      <c r="A8" s="172" t="s">
        <v>373</v>
      </c>
      <c r="B8" s="174">
        <f>'8.Cash Flow '!C33</f>
        <v>3245627.7088883519</v>
      </c>
      <c r="C8" s="174">
        <f>'8.Cash Flow '!D33</f>
        <v>4981989.9522188753</v>
      </c>
      <c r="D8" s="174">
        <f>'8.Cash Flow '!E33</f>
        <v>6783556.354601562</v>
      </c>
      <c r="E8" s="174">
        <f>'8.Cash Flow '!F33</f>
        <v>8660902.9529657662</v>
      </c>
      <c r="F8" s="174">
        <f>'8.Cash Flow '!G33</f>
        <v>10623600.398840547</v>
      </c>
      <c r="G8" s="174">
        <f>'8.Cash Flow '!H33</f>
        <v>12656411.235819578</v>
      </c>
      <c r="H8" s="174">
        <f>'8.Cash Flow '!I33</f>
        <v>14791702.907491922</v>
      </c>
      <c r="I8" s="161"/>
      <c r="J8" s="161"/>
      <c r="K8" s="175"/>
      <c r="L8" s="175"/>
      <c r="M8" s="175"/>
      <c r="N8" s="175"/>
      <c r="O8" s="175"/>
      <c r="P8" s="175"/>
      <c r="Q8" s="175"/>
      <c r="R8" s="175"/>
    </row>
    <row r="9" spans="1:18" ht="14.4">
      <c r="A9" s="176" t="s">
        <v>374</v>
      </c>
      <c r="B9" s="177"/>
      <c r="C9" s="177"/>
      <c r="D9" s="177"/>
      <c r="E9" s="177"/>
      <c r="F9" s="177"/>
      <c r="G9" s="177"/>
      <c r="H9" s="177"/>
      <c r="I9" s="161"/>
      <c r="J9" s="161"/>
      <c r="K9" s="175"/>
      <c r="L9" s="175"/>
      <c r="M9" s="175"/>
      <c r="N9" s="175"/>
      <c r="O9" s="175"/>
      <c r="P9" s="175"/>
      <c r="Q9" s="175"/>
      <c r="R9" s="175"/>
    </row>
    <row r="10" spans="1:18" ht="14.4">
      <c r="A10" s="176" t="s">
        <v>375</v>
      </c>
      <c r="B10" s="177"/>
      <c r="C10" s="177"/>
      <c r="D10" s="177"/>
      <c r="E10" s="177"/>
      <c r="F10" s="177"/>
      <c r="G10" s="177"/>
      <c r="H10" s="177"/>
      <c r="I10" s="161"/>
      <c r="J10" s="161"/>
      <c r="K10" s="175"/>
      <c r="L10" s="175"/>
      <c r="M10" s="175"/>
      <c r="N10" s="175"/>
      <c r="O10" s="175"/>
      <c r="P10" s="175"/>
      <c r="Q10" s="175"/>
      <c r="R10" s="175"/>
    </row>
    <row r="11" spans="1:18" ht="14.4">
      <c r="A11" s="172" t="s">
        <v>376</v>
      </c>
      <c r="B11" s="174">
        <f t="shared" ref="B11:H11" si="0">SUM(B8:B10)</f>
        <v>3245627.7088883519</v>
      </c>
      <c r="C11" s="174">
        <f t="shared" si="0"/>
        <v>4981989.9522188753</v>
      </c>
      <c r="D11" s="174">
        <f t="shared" si="0"/>
        <v>6783556.354601562</v>
      </c>
      <c r="E11" s="174">
        <f t="shared" si="0"/>
        <v>8660902.9529657662</v>
      </c>
      <c r="F11" s="174">
        <f t="shared" si="0"/>
        <v>10623600.398840547</v>
      </c>
      <c r="G11" s="174">
        <f t="shared" si="0"/>
        <v>12656411.235819578</v>
      </c>
      <c r="H11" s="174">
        <f t="shared" si="0"/>
        <v>14791702.907491922</v>
      </c>
      <c r="I11" s="161"/>
      <c r="J11" s="161"/>
      <c r="K11" s="161"/>
      <c r="L11" s="161"/>
      <c r="M11" s="161"/>
      <c r="N11" s="161"/>
      <c r="O11" s="161"/>
      <c r="P11" s="161"/>
      <c r="Q11" s="161"/>
      <c r="R11" s="161"/>
    </row>
    <row r="12" spans="1:18" ht="14.4">
      <c r="A12" s="172"/>
      <c r="B12" s="177"/>
      <c r="C12" s="177"/>
      <c r="D12" s="177"/>
      <c r="E12" s="177"/>
      <c r="F12" s="177"/>
      <c r="G12" s="177"/>
      <c r="H12" s="177"/>
      <c r="I12" s="161"/>
      <c r="J12" s="175"/>
      <c r="K12" s="175"/>
      <c r="L12" s="175"/>
      <c r="M12" s="175"/>
      <c r="N12" s="175"/>
      <c r="O12" s="175"/>
      <c r="P12" s="175"/>
      <c r="Q12" s="175"/>
      <c r="R12" s="161"/>
    </row>
    <row r="13" spans="1:18" ht="14.4">
      <c r="A13" s="176" t="s">
        <v>377</v>
      </c>
      <c r="B13" s="177">
        <f>'3.Other Exp &amp; Taxes'!C65</f>
        <v>7965300</v>
      </c>
      <c r="C13" s="177">
        <f>'3.Other Exp &amp; Taxes'!D65</f>
        <v>7516237.7400000002</v>
      </c>
      <c r="D13" s="177">
        <f>'3.Other Exp &amp; Taxes'!E65</f>
        <v>7067175.4800000004</v>
      </c>
      <c r="E13" s="177">
        <f>'3.Other Exp &amp; Taxes'!F65</f>
        <v>6618113.2200000007</v>
      </c>
      <c r="F13" s="177">
        <f>'3.Other Exp &amp; Taxes'!G65</f>
        <v>6169050.9600000009</v>
      </c>
      <c r="G13" s="177">
        <f>'3.Other Exp &amp; Taxes'!H65</f>
        <v>5719988.7000000011</v>
      </c>
      <c r="H13" s="177">
        <f>'3.Other Exp &amp; Taxes'!I65</f>
        <v>5270926.4400000013</v>
      </c>
      <c r="I13" s="161"/>
      <c r="J13" s="161"/>
      <c r="K13" s="161"/>
      <c r="L13" s="161"/>
      <c r="M13" s="161"/>
      <c r="N13" s="161"/>
      <c r="O13" s="161"/>
      <c r="P13" s="161"/>
      <c r="Q13" s="161"/>
      <c r="R13" s="161"/>
    </row>
    <row r="14" spans="1:18" ht="14.4">
      <c r="A14" s="176" t="s">
        <v>378</v>
      </c>
      <c r="B14" s="177">
        <f>'3.Other Exp &amp; Taxes'!C66</f>
        <v>449062.26</v>
      </c>
      <c r="C14" s="177">
        <f>'3.Other Exp &amp; Taxes'!D66</f>
        <v>449062.26</v>
      </c>
      <c r="D14" s="177">
        <f>'3.Other Exp &amp; Taxes'!E66</f>
        <v>449062.26</v>
      </c>
      <c r="E14" s="177">
        <f>'3.Other Exp &amp; Taxes'!F66</f>
        <v>449062.26</v>
      </c>
      <c r="F14" s="177">
        <f>'3.Other Exp &amp; Taxes'!G66</f>
        <v>449062.26</v>
      </c>
      <c r="G14" s="177">
        <f>'3.Other Exp &amp; Taxes'!H66</f>
        <v>449062.26</v>
      </c>
      <c r="H14" s="177">
        <f>'3.Other Exp &amp; Taxes'!I66</f>
        <v>449062.26</v>
      </c>
      <c r="I14" s="161"/>
      <c r="J14" s="161"/>
      <c r="K14" s="175"/>
      <c r="L14" s="175"/>
      <c r="M14" s="175"/>
      <c r="N14" s="175"/>
      <c r="O14" s="175"/>
      <c r="P14" s="175"/>
      <c r="Q14" s="175"/>
      <c r="R14" s="161"/>
    </row>
    <row r="15" spans="1:18" ht="14.4">
      <c r="A15" s="172" t="s">
        <v>180</v>
      </c>
      <c r="B15" s="174">
        <f t="shared" ref="B15:H15" si="1">B13-B14</f>
        <v>7516237.7400000002</v>
      </c>
      <c r="C15" s="174">
        <f t="shared" si="1"/>
        <v>7067175.4800000004</v>
      </c>
      <c r="D15" s="174">
        <f t="shared" si="1"/>
        <v>6618113.2200000007</v>
      </c>
      <c r="E15" s="174">
        <f t="shared" si="1"/>
        <v>6169050.9600000009</v>
      </c>
      <c r="F15" s="174">
        <f t="shared" si="1"/>
        <v>5719988.7000000011</v>
      </c>
      <c r="G15" s="174">
        <f t="shared" si="1"/>
        <v>5270926.4400000013</v>
      </c>
      <c r="H15" s="174">
        <f t="shared" si="1"/>
        <v>4821864.1800000016</v>
      </c>
      <c r="I15" s="164"/>
      <c r="J15" s="164"/>
      <c r="K15" s="164"/>
      <c r="L15" s="164"/>
      <c r="M15" s="164"/>
      <c r="N15" s="164"/>
      <c r="O15" s="164"/>
      <c r="P15" s="164"/>
      <c r="Q15" s="164"/>
      <c r="R15" s="164"/>
    </row>
    <row r="16" spans="1:18" ht="14.4">
      <c r="A16" s="172"/>
      <c r="B16" s="174"/>
      <c r="C16" s="174"/>
      <c r="D16" s="174"/>
      <c r="E16" s="174"/>
      <c r="F16" s="174"/>
      <c r="G16" s="174"/>
      <c r="H16" s="174"/>
      <c r="I16" s="164"/>
      <c r="J16" s="164"/>
      <c r="K16" s="164"/>
      <c r="L16" s="164"/>
      <c r="M16" s="164"/>
      <c r="N16" s="164"/>
      <c r="O16" s="164"/>
      <c r="P16" s="164"/>
      <c r="Q16" s="164"/>
      <c r="R16" s="164"/>
    </row>
    <row r="17" spans="1:18" ht="14.4">
      <c r="A17" s="178"/>
      <c r="B17" s="174"/>
      <c r="C17" s="174"/>
      <c r="D17" s="174"/>
      <c r="E17" s="174"/>
      <c r="F17" s="174"/>
      <c r="G17" s="174"/>
      <c r="H17" s="174"/>
      <c r="I17" s="164"/>
      <c r="J17" s="164"/>
      <c r="K17" s="164"/>
      <c r="L17" s="164"/>
      <c r="M17" s="164"/>
      <c r="N17" s="164"/>
      <c r="O17" s="164"/>
      <c r="P17" s="164"/>
      <c r="Q17" s="164"/>
      <c r="R17" s="164"/>
    </row>
    <row r="18" spans="1:18" ht="14.4">
      <c r="A18" s="172" t="s">
        <v>379</v>
      </c>
      <c r="B18" s="174">
        <f>'8.Cash Flow '!C20-'6.Cons Profit &amp; Loss'!B43</f>
        <v>370400</v>
      </c>
      <c r="C18" s="174">
        <f>B18-'6.Cons Profit &amp; Loss'!C43</f>
        <v>277800</v>
      </c>
      <c r="D18" s="174">
        <f>C18-'6.Cons Profit &amp; Loss'!D43</f>
        <v>185200</v>
      </c>
      <c r="E18" s="174">
        <f>D18-'6.Cons Profit &amp; Loss'!E43</f>
        <v>92600</v>
      </c>
      <c r="F18" s="174">
        <f>E18-'6.Cons Profit &amp; Loss'!F43</f>
        <v>0</v>
      </c>
      <c r="G18" s="174">
        <f>F18-'6.Cons Profit &amp; Loss'!G43</f>
        <v>0</v>
      </c>
      <c r="H18" s="174">
        <f>G18-'6.Cons Profit &amp; Loss'!H43</f>
        <v>0</v>
      </c>
      <c r="I18" s="164"/>
      <c r="J18" s="164"/>
      <c r="K18" s="164"/>
      <c r="L18" s="164"/>
      <c r="M18" s="164"/>
      <c r="N18" s="164"/>
      <c r="O18" s="164"/>
      <c r="P18" s="164"/>
      <c r="Q18" s="164"/>
      <c r="R18" s="164"/>
    </row>
    <row r="19" spans="1:18" ht="14.4">
      <c r="A19" s="176"/>
      <c r="B19" s="177"/>
      <c r="C19" s="177"/>
      <c r="D19" s="177"/>
      <c r="E19" s="177"/>
      <c r="F19" s="177"/>
      <c r="G19" s="177"/>
      <c r="H19" s="177"/>
      <c r="I19" s="161"/>
      <c r="J19" s="161"/>
      <c r="K19" s="161"/>
      <c r="L19" s="161"/>
      <c r="M19" s="161"/>
      <c r="N19" s="161"/>
      <c r="O19" s="161"/>
      <c r="P19" s="161"/>
      <c r="Q19" s="161"/>
      <c r="R19" s="161"/>
    </row>
    <row r="20" spans="1:18" ht="14.4">
      <c r="A20" s="178" t="s">
        <v>380</v>
      </c>
      <c r="B20" s="174">
        <f t="shared" ref="B20:H20" si="2">B11+B15+B17+B18</f>
        <v>11132265.448888352</v>
      </c>
      <c r="C20" s="174">
        <f t="shared" si="2"/>
        <v>12326965.432218876</v>
      </c>
      <c r="D20" s="174">
        <f t="shared" si="2"/>
        <v>13586869.574601563</v>
      </c>
      <c r="E20" s="174">
        <f t="shared" si="2"/>
        <v>14922553.912965767</v>
      </c>
      <c r="F20" s="174">
        <f t="shared" si="2"/>
        <v>16343589.098840548</v>
      </c>
      <c r="G20" s="174">
        <f t="shared" si="2"/>
        <v>17927337.67581958</v>
      </c>
      <c r="H20" s="174">
        <f t="shared" si="2"/>
        <v>19613567.087491922</v>
      </c>
      <c r="I20" s="161"/>
      <c r="J20" s="161"/>
      <c r="K20" s="161"/>
      <c r="L20" s="161"/>
      <c r="M20" s="161"/>
      <c r="N20" s="161"/>
      <c r="O20" s="161"/>
      <c r="P20" s="161"/>
      <c r="Q20" s="161"/>
      <c r="R20" s="161"/>
    </row>
    <row r="21" spans="1:18" ht="15.75" customHeight="1">
      <c r="A21" s="167"/>
      <c r="B21" s="177"/>
      <c r="C21" s="177"/>
      <c r="D21" s="177"/>
      <c r="E21" s="177"/>
      <c r="F21" s="177"/>
      <c r="G21" s="177"/>
      <c r="H21" s="177"/>
      <c r="I21" s="161"/>
      <c r="J21" s="161"/>
      <c r="K21" s="161"/>
      <c r="L21" s="161"/>
      <c r="M21" s="161"/>
      <c r="N21" s="161"/>
      <c r="O21" s="161"/>
      <c r="P21" s="161"/>
      <c r="Q21" s="161"/>
      <c r="R21" s="161"/>
    </row>
    <row r="22" spans="1:18" ht="15.75" customHeight="1">
      <c r="A22" s="170" t="s">
        <v>381</v>
      </c>
      <c r="B22" s="179"/>
      <c r="C22" s="179"/>
      <c r="D22" s="179"/>
      <c r="E22" s="179"/>
      <c r="F22" s="179"/>
      <c r="G22" s="179"/>
      <c r="H22" s="179"/>
      <c r="I22" s="161"/>
      <c r="J22" s="161"/>
      <c r="K22" s="161"/>
      <c r="L22" s="161"/>
      <c r="M22" s="161"/>
      <c r="N22" s="161"/>
      <c r="O22" s="161"/>
      <c r="P22" s="161"/>
      <c r="Q22" s="161"/>
      <c r="R22" s="161"/>
    </row>
    <row r="23" spans="1:18" ht="15.75" customHeight="1">
      <c r="A23" s="172" t="s">
        <v>382</v>
      </c>
      <c r="B23" s="179"/>
      <c r="C23" s="179"/>
      <c r="D23" s="179"/>
      <c r="E23" s="179"/>
      <c r="F23" s="179"/>
      <c r="G23" s="179"/>
      <c r="H23" s="179"/>
      <c r="I23" s="161"/>
      <c r="J23" s="161"/>
      <c r="K23" s="161"/>
      <c r="L23" s="161"/>
      <c r="M23" s="161"/>
      <c r="N23" s="161"/>
      <c r="O23" s="161"/>
      <c r="P23" s="161"/>
      <c r="Q23" s="161"/>
      <c r="R23" s="161"/>
    </row>
    <row r="24" spans="1:18" ht="15.75" customHeight="1">
      <c r="A24" s="176" t="s">
        <v>383</v>
      </c>
      <c r="B24" s="174"/>
      <c r="C24" s="174"/>
      <c r="D24" s="174"/>
      <c r="E24" s="174"/>
      <c r="F24" s="174"/>
      <c r="G24" s="174"/>
      <c r="H24" s="174"/>
      <c r="I24" s="161"/>
      <c r="J24" s="161"/>
      <c r="K24" s="161"/>
      <c r="L24" s="161"/>
      <c r="M24" s="161"/>
      <c r="N24" s="161"/>
      <c r="O24" s="161"/>
      <c r="P24" s="161"/>
      <c r="Q24" s="161"/>
      <c r="R24" s="161"/>
    </row>
    <row r="25" spans="1:18" ht="15.75" customHeight="1">
      <c r="A25" s="176" t="s">
        <v>384</v>
      </c>
      <c r="B25" s="177"/>
      <c r="C25" s="177"/>
      <c r="D25" s="177"/>
      <c r="E25" s="177"/>
      <c r="F25" s="177"/>
      <c r="G25" s="177"/>
      <c r="H25" s="177"/>
      <c r="I25" s="161"/>
      <c r="J25" s="161"/>
      <c r="K25" s="161"/>
      <c r="L25" s="161"/>
      <c r="M25" s="161"/>
      <c r="N25" s="161"/>
      <c r="O25" s="161"/>
      <c r="P25" s="161"/>
      <c r="Q25" s="161"/>
      <c r="R25" s="161"/>
    </row>
    <row r="26" spans="1:18" ht="15.75" customHeight="1">
      <c r="A26" s="176" t="s">
        <v>385</v>
      </c>
      <c r="B26" s="174"/>
      <c r="C26" s="174"/>
      <c r="D26" s="174"/>
      <c r="E26" s="174"/>
      <c r="F26" s="174"/>
      <c r="G26" s="174"/>
      <c r="H26" s="174"/>
      <c r="I26" s="161"/>
      <c r="J26" s="161"/>
      <c r="K26" s="161"/>
      <c r="L26" s="161"/>
      <c r="M26" s="161"/>
      <c r="N26" s="161"/>
      <c r="O26" s="161"/>
      <c r="P26" s="161"/>
      <c r="Q26" s="161"/>
      <c r="R26" s="161"/>
    </row>
    <row r="27" spans="1:18" ht="15.75" customHeight="1">
      <c r="A27" s="172" t="s">
        <v>386</v>
      </c>
      <c r="B27" s="174">
        <f t="shared" ref="B27:H27" si="3">SUM(B24:B26)</f>
        <v>0</v>
      </c>
      <c r="C27" s="174">
        <f t="shared" si="3"/>
        <v>0</v>
      </c>
      <c r="D27" s="174">
        <f t="shared" si="3"/>
        <v>0</v>
      </c>
      <c r="E27" s="174">
        <f t="shared" si="3"/>
        <v>0</v>
      </c>
      <c r="F27" s="174">
        <f t="shared" si="3"/>
        <v>0</v>
      </c>
      <c r="G27" s="174">
        <f t="shared" si="3"/>
        <v>0</v>
      </c>
      <c r="H27" s="174">
        <f t="shared" si="3"/>
        <v>0</v>
      </c>
      <c r="I27" s="161"/>
      <c r="J27" s="161"/>
      <c r="K27" s="161"/>
      <c r="L27" s="161"/>
      <c r="M27" s="161"/>
      <c r="N27" s="161"/>
      <c r="O27" s="161"/>
      <c r="P27" s="161"/>
      <c r="Q27" s="161"/>
      <c r="R27" s="161"/>
    </row>
    <row r="28" spans="1:18" ht="15.75" customHeight="1">
      <c r="A28" s="172" t="s">
        <v>387</v>
      </c>
      <c r="B28" s="174">
        <f>'4.TL repayment sch'!G21</f>
        <v>3019023.3493284765</v>
      </c>
      <c r="C28" s="174">
        <f>'4.TL repayment sch'!G33</f>
        <v>2653358.1991148265</v>
      </c>
      <c r="D28" s="174">
        <f>'4.TL repayment sch'!G45</f>
        <v>2241317.5552071189</v>
      </c>
      <c r="E28" s="174">
        <f>'4.TL repayment sch'!G57</f>
        <v>1777019.8442202203</v>
      </c>
      <c r="F28" s="174">
        <f>'4.TL repayment sch'!G69</f>
        <v>1253837.562047204</v>
      </c>
      <c r="G28" s="174">
        <f>'4.TL repayment sch'!G81</f>
        <v>664302.67117308197</v>
      </c>
      <c r="H28" s="174">
        <f>'[1]Term Loan'!J72+'[1]Term Loan'!S72</f>
        <v>0</v>
      </c>
      <c r="I28" s="161"/>
      <c r="J28" s="161"/>
      <c r="K28" s="161"/>
      <c r="L28" s="161"/>
      <c r="M28" s="161"/>
      <c r="N28" s="161"/>
      <c r="O28" s="161"/>
      <c r="P28" s="161"/>
      <c r="Q28" s="161"/>
      <c r="R28" s="161"/>
    </row>
    <row r="29" spans="1:18" ht="15.75" customHeight="1">
      <c r="A29" s="172" t="s">
        <v>388</v>
      </c>
      <c r="B29" s="174"/>
      <c r="C29" s="174"/>
      <c r="D29" s="174"/>
      <c r="E29" s="174"/>
      <c r="F29" s="174"/>
      <c r="G29" s="174"/>
      <c r="H29" s="174"/>
      <c r="I29" s="161"/>
      <c r="J29" s="161"/>
      <c r="K29" s="161"/>
      <c r="L29" s="161"/>
      <c r="M29" s="161"/>
      <c r="N29" s="161"/>
      <c r="O29" s="161"/>
      <c r="P29" s="161"/>
      <c r="Q29" s="161"/>
      <c r="R29" s="161"/>
    </row>
    <row r="30" spans="1:18" ht="15.75" customHeight="1">
      <c r="A30" s="172"/>
      <c r="B30" s="180"/>
      <c r="C30" s="180"/>
      <c r="D30" s="180"/>
      <c r="E30" s="180"/>
      <c r="F30" s="180"/>
      <c r="G30" s="180"/>
      <c r="H30" s="180"/>
      <c r="I30" s="161"/>
      <c r="J30" s="161"/>
      <c r="K30" s="161"/>
      <c r="L30" s="161"/>
      <c r="M30" s="161"/>
      <c r="N30" s="161"/>
      <c r="O30" s="161"/>
      <c r="P30" s="161"/>
      <c r="Q30" s="161"/>
      <c r="R30" s="161"/>
    </row>
    <row r="31" spans="1:18" ht="15.75" customHeight="1">
      <c r="A31" s="178" t="s">
        <v>389</v>
      </c>
      <c r="B31" s="174">
        <f t="shared" ref="B31:H31" si="4">SUM(B27:B29)</f>
        <v>3019023.3493284765</v>
      </c>
      <c r="C31" s="174">
        <f t="shared" si="4"/>
        <v>2653358.1991148265</v>
      </c>
      <c r="D31" s="174">
        <f t="shared" si="4"/>
        <v>2241317.5552071189</v>
      </c>
      <c r="E31" s="174">
        <f t="shared" si="4"/>
        <v>1777019.8442202203</v>
      </c>
      <c r="F31" s="174">
        <f t="shared" si="4"/>
        <v>1253837.562047204</v>
      </c>
      <c r="G31" s="174">
        <f t="shared" si="4"/>
        <v>664302.67117308197</v>
      </c>
      <c r="H31" s="174">
        <f t="shared" si="4"/>
        <v>0</v>
      </c>
      <c r="I31" s="161"/>
      <c r="J31" s="161"/>
      <c r="K31" s="161"/>
      <c r="L31" s="161"/>
      <c r="M31" s="161"/>
      <c r="N31" s="161"/>
      <c r="O31" s="161"/>
      <c r="P31" s="161"/>
      <c r="Q31" s="161"/>
      <c r="R31" s="161"/>
    </row>
    <row r="32" spans="1:18" ht="15.75" customHeight="1">
      <c r="A32" s="167"/>
      <c r="B32" s="177"/>
      <c r="C32" s="177"/>
      <c r="D32" s="177"/>
      <c r="E32" s="177"/>
      <c r="F32" s="177"/>
      <c r="G32" s="177"/>
      <c r="H32" s="177"/>
      <c r="I32" s="161"/>
      <c r="J32" s="161"/>
      <c r="K32" s="161"/>
      <c r="L32" s="161"/>
      <c r="M32" s="161"/>
      <c r="N32" s="161"/>
      <c r="O32" s="161"/>
      <c r="P32" s="161"/>
      <c r="Q32" s="161"/>
      <c r="R32" s="161"/>
    </row>
    <row r="33" spans="1:18" ht="15.75" customHeight="1">
      <c r="A33" s="176" t="s">
        <v>390</v>
      </c>
      <c r="B33" s="177">
        <f>'1.Project Cost and MOF'!E21</f>
        <v>1213807.0621553976</v>
      </c>
      <c r="C33" s="177">
        <f t="shared" ref="C33:H33" si="5">B33</f>
        <v>1213807.0621553976</v>
      </c>
      <c r="D33" s="177">
        <f t="shared" si="5"/>
        <v>1213807.0621553976</v>
      </c>
      <c r="E33" s="177">
        <f t="shared" si="5"/>
        <v>1213807.0621553976</v>
      </c>
      <c r="F33" s="177">
        <f t="shared" si="5"/>
        <v>1213807.0621553976</v>
      </c>
      <c r="G33" s="177">
        <f t="shared" si="5"/>
        <v>1213807.0621553976</v>
      </c>
      <c r="H33" s="177">
        <f t="shared" si="5"/>
        <v>1213807.0621553976</v>
      </c>
      <c r="I33" s="161"/>
      <c r="J33" s="161"/>
      <c r="K33" s="161"/>
      <c r="L33" s="161"/>
      <c r="M33" s="161"/>
      <c r="N33" s="161"/>
      <c r="O33" s="161"/>
      <c r="P33" s="161"/>
      <c r="Q33" s="161"/>
      <c r="R33" s="161"/>
    </row>
    <row r="34" spans="1:18" ht="15.75" customHeight="1">
      <c r="A34" s="176" t="s">
        <v>391</v>
      </c>
      <c r="B34" s="177">
        <f>'1.Project Cost and MOF'!E19</f>
        <v>5056980</v>
      </c>
      <c r="C34" s="177">
        <f t="shared" ref="C34:H34" si="6">B34</f>
        <v>5056980</v>
      </c>
      <c r="D34" s="177">
        <f t="shared" si="6"/>
        <v>5056980</v>
      </c>
      <c r="E34" s="177">
        <f t="shared" si="6"/>
        <v>5056980</v>
      </c>
      <c r="F34" s="177">
        <f t="shared" si="6"/>
        <v>5056980</v>
      </c>
      <c r="G34" s="177">
        <f t="shared" si="6"/>
        <v>5056980</v>
      </c>
      <c r="H34" s="177">
        <f t="shared" si="6"/>
        <v>5056980</v>
      </c>
      <c r="I34" s="161"/>
      <c r="J34" s="161"/>
      <c r="K34" s="161"/>
      <c r="L34" s="161"/>
      <c r="M34" s="161"/>
      <c r="N34" s="161"/>
      <c r="O34" s="161"/>
      <c r="P34" s="161"/>
      <c r="Q34" s="161"/>
      <c r="R34" s="161"/>
    </row>
    <row r="35" spans="1:18" ht="15.75" customHeight="1">
      <c r="A35" s="172" t="s">
        <v>392</v>
      </c>
      <c r="B35" s="177"/>
      <c r="C35" s="177"/>
      <c r="D35" s="177"/>
      <c r="E35" s="177"/>
      <c r="F35" s="177"/>
      <c r="G35" s="177"/>
      <c r="H35" s="177"/>
      <c r="I35" s="161"/>
      <c r="J35" s="161"/>
      <c r="K35" s="161"/>
      <c r="L35" s="161"/>
      <c r="M35" s="161"/>
      <c r="N35" s="161"/>
      <c r="O35" s="161"/>
      <c r="P35" s="161"/>
      <c r="Q35" s="161"/>
      <c r="R35" s="161"/>
    </row>
    <row r="36" spans="1:18" ht="15.75" customHeight="1">
      <c r="A36" s="176" t="s">
        <v>393</v>
      </c>
      <c r="B36" s="177">
        <v>0</v>
      </c>
      <c r="C36" s="177">
        <f t="shared" ref="C36:H36" si="7">B39</f>
        <v>1842455.037404486</v>
      </c>
      <c r="D36" s="177">
        <f t="shared" si="7"/>
        <v>3402820.1709486763</v>
      </c>
      <c r="E36" s="177">
        <f t="shared" si="7"/>
        <v>5074764.9572390737</v>
      </c>
      <c r="F36" s="177">
        <f t="shared" si="7"/>
        <v>6874747.0065901689</v>
      </c>
      <c r="G36" s="177">
        <f t="shared" si="7"/>
        <v>8818964.4746379815</v>
      </c>
      <c r="H36" s="177">
        <f t="shared" si="7"/>
        <v>10992247.942491135</v>
      </c>
      <c r="I36" s="161"/>
      <c r="J36" s="161"/>
      <c r="K36" s="161"/>
      <c r="L36" s="161"/>
      <c r="M36" s="161"/>
      <c r="N36" s="161"/>
      <c r="O36" s="161"/>
      <c r="P36" s="161"/>
      <c r="Q36" s="161"/>
      <c r="R36" s="161"/>
    </row>
    <row r="37" spans="1:18" ht="15.75" customHeight="1">
      <c r="A37" s="176" t="s">
        <v>394</v>
      </c>
      <c r="B37" s="177">
        <f>'6.Cons Profit &amp; Loss'!B53</f>
        <v>1842455.037404486</v>
      </c>
      <c r="C37" s="177">
        <f>'6.Cons Profit &amp; Loss'!C51</f>
        <v>1560365.1335441903</v>
      </c>
      <c r="D37" s="177">
        <f>'6.Cons Profit &amp; Loss'!D51</f>
        <v>1671944.7862903976</v>
      </c>
      <c r="E37" s="177">
        <f>'6.Cons Profit &amp; Loss'!E51</f>
        <v>1799982.0493510952</v>
      </c>
      <c r="F37" s="177">
        <f>'6.Cons Profit &amp; Loss'!F51</f>
        <v>1944217.468047813</v>
      </c>
      <c r="G37" s="177">
        <f>'6.Cons Profit &amp; Loss'!G51</f>
        <v>2173283.4678531531</v>
      </c>
      <c r="H37" s="177">
        <f>'6.Cons Profit &amp; Loss'!H51</f>
        <v>2350532.0828454341</v>
      </c>
      <c r="I37" s="161"/>
      <c r="J37" s="161"/>
      <c r="K37" s="161"/>
      <c r="L37" s="161"/>
      <c r="M37" s="161"/>
      <c r="N37" s="161"/>
      <c r="O37" s="161"/>
      <c r="P37" s="161"/>
      <c r="Q37" s="161"/>
      <c r="R37" s="161"/>
    </row>
    <row r="38" spans="1:18" ht="15.75" customHeight="1">
      <c r="A38" s="176" t="s">
        <v>395</v>
      </c>
      <c r="B38" s="177"/>
      <c r="C38" s="177"/>
      <c r="D38" s="177"/>
      <c r="E38" s="177"/>
      <c r="F38" s="177"/>
      <c r="G38" s="177"/>
      <c r="H38" s="177"/>
      <c r="I38" s="161"/>
      <c r="J38" s="161"/>
      <c r="K38" s="161"/>
      <c r="L38" s="161"/>
      <c r="M38" s="161"/>
      <c r="N38" s="161"/>
      <c r="O38" s="161"/>
      <c r="P38" s="161"/>
      <c r="Q38" s="161"/>
      <c r="R38" s="161"/>
    </row>
    <row r="39" spans="1:18" ht="15.75" customHeight="1">
      <c r="A39" s="176" t="s">
        <v>396</v>
      </c>
      <c r="B39" s="177">
        <f t="shared" ref="B39:H39" si="8">B36+B37-B38</f>
        <v>1842455.037404486</v>
      </c>
      <c r="C39" s="177">
        <f t="shared" si="8"/>
        <v>3402820.1709486763</v>
      </c>
      <c r="D39" s="177">
        <f t="shared" si="8"/>
        <v>5074764.9572390737</v>
      </c>
      <c r="E39" s="177">
        <f t="shared" si="8"/>
        <v>6874747.0065901689</v>
      </c>
      <c r="F39" s="177">
        <f t="shared" si="8"/>
        <v>8818964.4746379815</v>
      </c>
      <c r="G39" s="177">
        <f t="shared" si="8"/>
        <v>10992247.942491135</v>
      </c>
      <c r="H39" s="177">
        <f t="shared" si="8"/>
        <v>13342780.025336569</v>
      </c>
      <c r="I39" s="161"/>
      <c r="J39" s="161"/>
      <c r="K39" s="161"/>
      <c r="L39" s="161"/>
      <c r="M39" s="161"/>
      <c r="N39" s="161"/>
      <c r="O39" s="161"/>
      <c r="P39" s="161"/>
      <c r="Q39" s="161"/>
      <c r="R39" s="161"/>
    </row>
    <row r="40" spans="1:18" ht="15.75" customHeight="1">
      <c r="A40" s="176"/>
      <c r="B40" s="179"/>
      <c r="C40" s="179"/>
      <c r="D40" s="179"/>
      <c r="E40" s="179"/>
      <c r="F40" s="179"/>
      <c r="G40" s="179"/>
      <c r="H40" s="179"/>
      <c r="I40" s="161"/>
      <c r="J40" s="161"/>
      <c r="K40" s="161"/>
      <c r="L40" s="161"/>
      <c r="M40" s="161"/>
      <c r="N40" s="161"/>
      <c r="O40" s="161"/>
      <c r="P40" s="161"/>
      <c r="Q40" s="161"/>
      <c r="R40" s="161"/>
    </row>
    <row r="41" spans="1:18" ht="15.75" customHeight="1">
      <c r="A41" s="181" t="s">
        <v>397</v>
      </c>
      <c r="B41" s="182">
        <f t="shared" ref="B41:H41" si="9">B33+B39+B34</f>
        <v>8113242.0995598836</v>
      </c>
      <c r="C41" s="182">
        <f t="shared" si="9"/>
        <v>9673607.2331040744</v>
      </c>
      <c r="D41" s="182">
        <f t="shared" si="9"/>
        <v>11345552.019394472</v>
      </c>
      <c r="E41" s="182">
        <f t="shared" si="9"/>
        <v>13145534.068745567</v>
      </c>
      <c r="F41" s="182">
        <f t="shared" si="9"/>
        <v>15089751.536793379</v>
      </c>
      <c r="G41" s="182">
        <f t="shared" si="9"/>
        <v>17263035.004646532</v>
      </c>
      <c r="H41" s="182">
        <f t="shared" si="9"/>
        <v>19613567.087491967</v>
      </c>
      <c r="I41" s="161"/>
      <c r="J41" s="161"/>
      <c r="K41" s="161"/>
      <c r="L41" s="161"/>
      <c r="M41" s="161"/>
      <c r="N41" s="161"/>
      <c r="O41" s="161"/>
      <c r="P41" s="161"/>
      <c r="Q41" s="161"/>
      <c r="R41" s="161"/>
    </row>
    <row r="42" spans="1:18" ht="15.75" customHeight="1">
      <c r="A42" s="167"/>
      <c r="B42" s="177"/>
      <c r="C42" s="177"/>
      <c r="D42" s="177"/>
      <c r="E42" s="177"/>
      <c r="F42" s="177"/>
      <c r="G42" s="177"/>
      <c r="H42" s="177"/>
      <c r="I42" s="161"/>
      <c r="J42" s="161"/>
      <c r="K42" s="161"/>
      <c r="L42" s="161"/>
      <c r="M42" s="161"/>
      <c r="N42" s="161"/>
      <c r="O42" s="161"/>
      <c r="P42" s="161"/>
      <c r="Q42" s="161"/>
      <c r="R42" s="161"/>
    </row>
    <row r="43" spans="1:18" ht="15.75" customHeight="1">
      <c r="A43" s="178" t="s">
        <v>398</v>
      </c>
      <c r="B43" s="174">
        <f t="shared" ref="B43:H43" si="10">B31+B41</f>
        <v>11132265.44888836</v>
      </c>
      <c r="C43" s="174">
        <f t="shared" si="10"/>
        <v>12326965.432218902</v>
      </c>
      <c r="D43" s="174">
        <f t="shared" si="10"/>
        <v>13586869.574601591</v>
      </c>
      <c r="E43" s="174">
        <f t="shared" si="10"/>
        <v>14922553.912965788</v>
      </c>
      <c r="F43" s="174">
        <f t="shared" si="10"/>
        <v>16343589.098840583</v>
      </c>
      <c r="G43" s="174">
        <f t="shared" si="10"/>
        <v>17927337.675819613</v>
      </c>
      <c r="H43" s="174">
        <f t="shared" si="10"/>
        <v>19613567.087491967</v>
      </c>
      <c r="I43" s="161"/>
      <c r="J43" s="161"/>
      <c r="K43" s="161"/>
      <c r="L43" s="161"/>
      <c r="M43" s="161"/>
      <c r="N43" s="161"/>
      <c r="O43" s="161"/>
      <c r="P43" s="161"/>
      <c r="Q43" s="161"/>
      <c r="R43" s="161"/>
    </row>
    <row r="44" spans="1:18" ht="15.75" customHeight="1">
      <c r="A44" s="167"/>
      <c r="B44" s="171"/>
      <c r="C44" s="171"/>
      <c r="D44" s="171"/>
      <c r="E44" s="171"/>
      <c r="F44" s="171"/>
      <c r="G44" s="171"/>
      <c r="H44" s="171"/>
      <c r="I44" s="161"/>
      <c r="J44" s="161"/>
      <c r="K44" s="161"/>
      <c r="L44" s="161"/>
      <c r="M44" s="161"/>
      <c r="N44" s="161"/>
      <c r="O44" s="161"/>
      <c r="P44" s="161"/>
      <c r="Q44" s="161"/>
      <c r="R44" s="161"/>
    </row>
    <row r="45" spans="1:18" ht="15.75" customHeight="1">
      <c r="A45" s="183" t="s">
        <v>399</v>
      </c>
      <c r="B45" s="184"/>
      <c r="C45" s="184"/>
      <c r="D45" s="184"/>
      <c r="E45" s="184"/>
      <c r="F45" s="184"/>
      <c r="G45" s="184"/>
      <c r="H45" s="184"/>
      <c r="I45" s="161"/>
      <c r="J45" s="161"/>
      <c r="K45" s="161"/>
      <c r="L45" s="161"/>
      <c r="M45" s="161"/>
      <c r="N45" s="161"/>
      <c r="O45" s="161"/>
      <c r="P45" s="161"/>
      <c r="Q45" s="161"/>
      <c r="R45" s="161"/>
    </row>
    <row r="46" spans="1:18" ht="15.75" customHeight="1">
      <c r="A46" s="185" t="s">
        <v>400</v>
      </c>
      <c r="B46" s="186">
        <f t="shared" ref="B46:H46" si="11">B43-B20</f>
        <v>0</v>
      </c>
      <c r="C46" s="186">
        <f t="shared" si="11"/>
        <v>2.6077032089233398E-8</v>
      </c>
      <c r="D46" s="186">
        <f t="shared" si="11"/>
        <v>2.7939677238464355E-8</v>
      </c>
      <c r="E46" s="186">
        <f t="shared" si="11"/>
        <v>2.0489096641540527E-8</v>
      </c>
      <c r="F46" s="186">
        <f t="shared" si="11"/>
        <v>3.5390257835388184E-8</v>
      </c>
      <c r="G46" s="186">
        <f t="shared" si="11"/>
        <v>3.3527612686157227E-8</v>
      </c>
      <c r="H46" s="186">
        <f t="shared" si="11"/>
        <v>4.4703483581542969E-8</v>
      </c>
      <c r="I46" s="161"/>
      <c r="J46" s="161"/>
      <c r="K46" s="161"/>
      <c r="L46" s="161"/>
      <c r="M46" s="161"/>
      <c r="N46" s="161"/>
      <c r="O46" s="161"/>
      <c r="P46" s="161"/>
      <c r="Q46" s="161"/>
      <c r="R46" s="161"/>
    </row>
    <row r="47" spans="1:18" ht="15.75" customHeight="1">
      <c r="A47" s="185"/>
      <c r="B47" s="186"/>
      <c r="C47" s="186"/>
      <c r="D47" s="186"/>
      <c r="E47" s="186"/>
      <c r="F47" s="186"/>
      <c r="G47" s="186"/>
      <c r="H47" s="186"/>
      <c r="I47" s="161"/>
      <c r="J47" s="161"/>
      <c r="K47" s="161"/>
      <c r="L47" s="161"/>
      <c r="M47" s="161"/>
      <c r="N47" s="161"/>
      <c r="O47" s="161"/>
      <c r="P47" s="161"/>
      <c r="Q47" s="161"/>
      <c r="R47" s="161"/>
    </row>
    <row r="48" spans="1:18" ht="15.75" customHeight="1">
      <c r="A48" s="187"/>
      <c r="B48" s="188"/>
      <c r="C48" s="188"/>
      <c r="D48" s="188"/>
      <c r="E48" s="188"/>
      <c r="F48" s="188"/>
      <c r="G48" s="188"/>
      <c r="H48" s="188"/>
      <c r="I48" s="161"/>
      <c r="J48" s="161"/>
      <c r="K48" s="161"/>
      <c r="L48" s="161"/>
      <c r="M48" s="161"/>
      <c r="N48" s="161"/>
      <c r="O48" s="161"/>
      <c r="P48" s="161"/>
      <c r="Q48" s="161"/>
      <c r="R48" s="161"/>
    </row>
    <row r="49" spans="1:18" ht="15.75" customHeight="1">
      <c r="A49" s="161"/>
      <c r="B49" s="189"/>
      <c r="C49" s="189"/>
      <c r="D49" s="189"/>
      <c r="E49" s="189"/>
      <c r="F49" s="189"/>
      <c r="G49" s="189"/>
      <c r="H49" s="189"/>
      <c r="I49" s="161"/>
      <c r="J49" s="161"/>
      <c r="K49" s="161"/>
      <c r="L49" s="161"/>
      <c r="M49" s="161"/>
      <c r="N49" s="161"/>
      <c r="O49" s="161"/>
      <c r="P49" s="161"/>
      <c r="Q49" s="161"/>
      <c r="R49" s="161"/>
    </row>
    <row r="50" spans="1:18" ht="39" customHeight="1">
      <c r="A50" s="386" t="s">
        <v>401</v>
      </c>
      <c r="B50" s="335"/>
      <c r="C50" s="335"/>
      <c r="D50" s="335"/>
      <c r="E50" s="335"/>
      <c r="F50" s="335"/>
      <c r="G50" s="335"/>
      <c r="H50" s="335"/>
      <c r="I50" s="335"/>
      <c r="J50" s="161"/>
      <c r="K50" s="161"/>
      <c r="L50" s="161"/>
      <c r="M50" s="161"/>
      <c r="N50" s="161"/>
      <c r="O50" s="161"/>
      <c r="P50" s="161"/>
      <c r="Q50" s="161"/>
      <c r="R50" s="161"/>
    </row>
    <row r="51" spans="1:18" ht="15.75" customHeight="1">
      <c r="A51" s="161"/>
      <c r="B51" s="161"/>
      <c r="C51" s="161"/>
      <c r="D51" s="161"/>
      <c r="E51" s="161"/>
      <c r="F51" s="161"/>
      <c r="G51" s="161"/>
      <c r="H51" s="161"/>
      <c r="I51" s="161"/>
      <c r="J51" s="161"/>
      <c r="K51" s="161"/>
      <c r="L51" s="161"/>
      <c r="M51" s="161"/>
      <c r="N51" s="161"/>
      <c r="O51" s="161"/>
      <c r="P51" s="161"/>
      <c r="Q51" s="161"/>
      <c r="R51" s="161"/>
    </row>
    <row r="52" spans="1:18" ht="15.75" customHeight="1">
      <c r="A52" s="161"/>
      <c r="B52" s="161"/>
      <c r="C52" s="161"/>
      <c r="D52" s="161"/>
      <c r="E52" s="161"/>
      <c r="F52" s="161"/>
      <c r="G52" s="161"/>
      <c r="H52" s="161"/>
      <c r="I52" s="161"/>
      <c r="J52" s="161"/>
      <c r="K52" s="161"/>
      <c r="L52" s="161"/>
      <c r="M52" s="161"/>
      <c r="N52" s="161"/>
      <c r="O52" s="161"/>
      <c r="P52" s="161"/>
      <c r="Q52" s="161"/>
      <c r="R52" s="161"/>
    </row>
    <row r="53" spans="1:18" ht="15.75" customHeight="1">
      <c r="A53" s="161"/>
      <c r="B53" s="161"/>
      <c r="C53" s="161"/>
      <c r="D53" s="161"/>
      <c r="E53" s="161"/>
      <c r="F53" s="161"/>
      <c r="G53" s="161"/>
      <c r="H53" s="161"/>
      <c r="I53" s="161"/>
      <c r="J53" s="161"/>
      <c r="K53" s="161"/>
      <c r="L53" s="161"/>
      <c r="M53" s="161"/>
      <c r="N53" s="161"/>
      <c r="O53" s="161"/>
      <c r="P53" s="161"/>
      <c r="Q53" s="161"/>
      <c r="R53" s="161"/>
    </row>
    <row r="54" spans="1:18" ht="15.75" customHeight="1">
      <c r="A54" s="161"/>
      <c r="B54" s="161"/>
      <c r="C54" s="161"/>
      <c r="D54" s="161"/>
      <c r="E54" s="161"/>
      <c r="F54" s="161"/>
      <c r="G54" s="161"/>
      <c r="H54" s="161"/>
      <c r="I54" s="161"/>
      <c r="J54" s="161"/>
      <c r="K54" s="161"/>
      <c r="L54" s="161"/>
      <c r="M54" s="161"/>
      <c r="N54" s="161"/>
      <c r="O54" s="161"/>
      <c r="P54" s="161"/>
      <c r="Q54" s="161"/>
      <c r="R54" s="161"/>
    </row>
    <row r="55" spans="1:18" ht="15.75" customHeight="1">
      <c r="A55" s="161"/>
      <c r="B55" s="161"/>
      <c r="C55" s="161"/>
      <c r="D55" s="161"/>
      <c r="E55" s="161"/>
      <c r="F55" s="161"/>
      <c r="G55" s="161"/>
      <c r="H55" s="161"/>
      <c r="I55" s="161"/>
      <c r="J55" s="161"/>
      <c r="K55" s="161"/>
      <c r="L55" s="161"/>
      <c r="M55" s="161"/>
      <c r="N55" s="161"/>
      <c r="O55" s="161"/>
      <c r="P55" s="161"/>
      <c r="Q55" s="161"/>
      <c r="R55" s="161"/>
    </row>
    <row r="56" spans="1:18" ht="15.75" customHeight="1">
      <c r="A56" s="161"/>
      <c r="B56" s="161"/>
      <c r="C56" s="161"/>
      <c r="D56" s="161"/>
      <c r="E56" s="161"/>
      <c r="F56" s="161"/>
      <c r="G56" s="161"/>
      <c r="H56" s="161"/>
      <c r="I56" s="161"/>
      <c r="J56" s="161"/>
      <c r="K56" s="161"/>
      <c r="L56" s="161"/>
      <c r="M56" s="161"/>
      <c r="N56" s="161"/>
      <c r="O56" s="161"/>
      <c r="P56" s="161"/>
      <c r="Q56" s="161"/>
      <c r="R56" s="161"/>
    </row>
    <row r="57" spans="1:18" ht="15.75" customHeight="1">
      <c r="A57" s="161"/>
      <c r="B57" s="161"/>
      <c r="C57" s="161"/>
      <c r="D57" s="161"/>
      <c r="E57" s="161"/>
      <c r="F57" s="161"/>
      <c r="G57" s="161"/>
      <c r="H57" s="161"/>
      <c r="I57" s="161"/>
      <c r="J57" s="161"/>
      <c r="K57" s="161"/>
      <c r="L57" s="161"/>
      <c r="M57" s="161"/>
      <c r="N57" s="161"/>
      <c r="O57" s="161"/>
      <c r="P57" s="161"/>
      <c r="Q57" s="161"/>
      <c r="R57" s="161"/>
    </row>
    <row r="58" spans="1:18" ht="15.75" customHeight="1">
      <c r="A58" s="161"/>
      <c r="B58" s="161"/>
      <c r="C58" s="161"/>
      <c r="D58" s="161"/>
      <c r="E58" s="161"/>
      <c r="F58" s="161"/>
      <c r="G58" s="161"/>
      <c r="H58" s="161"/>
      <c r="I58" s="161"/>
      <c r="J58" s="161"/>
      <c r="K58" s="161"/>
      <c r="L58" s="161"/>
      <c r="M58" s="161"/>
      <c r="N58" s="161"/>
      <c r="O58" s="161"/>
      <c r="P58" s="161"/>
      <c r="Q58" s="161"/>
      <c r="R58" s="161"/>
    </row>
    <row r="59" spans="1:18" ht="15.75" customHeight="1">
      <c r="A59" s="161"/>
      <c r="B59" s="161"/>
      <c r="C59" s="161"/>
      <c r="D59" s="161"/>
      <c r="E59" s="161"/>
      <c r="F59" s="161"/>
      <c r="G59" s="161"/>
      <c r="H59" s="161"/>
      <c r="I59" s="161"/>
      <c r="J59" s="161"/>
      <c r="K59" s="161"/>
      <c r="L59" s="161"/>
      <c r="M59" s="161"/>
      <c r="N59" s="161"/>
      <c r="O59" s="161"/>
      <c r="P59" s="161"/>
      <c r="Q59" s="161"/>
      <c r="R59" s="161"/>
    </row>
    <row r="60" spans="1:18" ht="15.75" customHeight="1">
      <c r="A60" s="161"/>
      <c r="B60" s="161"/>
      <c r="C60" s="161"/>
      <c r="D60" s="161"/>
      <c r="E60" s="161"/>
      <c r="F60" s="161"/>
      <c r="G60" s="161"/>
      <c r="H60" s="161"/>
      <c r="I60" s="161"/>
      <c r="J60" s="161"/>
      <c r="K60" s="161"/>
      <c r="L60" s="161"/>
      <c r="M60" s="161"/>
      <c r="N60" s="161"/>
      <c r="O60" s="161"/>
      <c r="P60" s="161"/>
      <c r="Q60" s="161"/>
      <c r="R60" s="161"/>
    </row>
    <row r="61" spans="1:18" ht="15.75" customHeight="1">
      <c r="A61" s="161"/>
      <c r="B61" s="161"/>
      <c r="C61" s="161"/>
      <c r="D61" s="161"/>
      <c r="E61" s="161"/>
      <c r="F61" s="161"/>
      <c r="G61" s="161"/>
      <c r="H61" s="161"/>
      <c r="I61" s="161"/>
      <c r="J61" s="161"/>
      <c r="K61" s="161"/>
      <c r="L61" s="161"/>
      <c r="M61" s="161"/>
      <c r="N61" s="161"/>
      <c r="O61" s="161"/>
      <c r="P61" s="161"/>
      <c r="Q61" s="161"/>
      <c r="R61" s="161"/>
    </row>
    <row r="62" spans="1:18" ht="15.75" customHeight="1">
      <c r="A62" s="161"/>
      <c r="B62" s="161"/>
      <c r="C62" s="161"/>
      <c r="D62" s="161"/>
      <c r="E62" s="161"/>
      <c r="F62" s="161"/>
      <c r="G62" s="161"/>
      <c r="H62" s="161"/>
      <c r="I62" s="161"/>
      <c r="J62" s="161"/>
      <c r="K62" s="161"/>
      <c r="L62" s="161"/>
      <c r="M62" s="161"/>
      <c r="N62" s="161"/>
      <c r="O62" s="161"/>
      <c r="P62" s="161"/>
      <c r="Q62" s="161"/>
      <c r="R62" s="161"/>
    </row>
    <row r="63" spans="1:18" ht="15.75" customHeight="1">
      <c r="A63" s="161"/>
      <c r="B63" s="161"/>
      <c r="C63" s="161"/>
      <c r="D63" s="161"/>
      <c r="E63" s="161"/>
      <c r="F63" s="161"/>
      <c r="G63" s="161"/>
      <c r="H63" s="161"/>
      <c r="I63" s="161"/>
      <c r="J63" s="161"/>
      <c r="K63" s="161"/>
      <c r="L63" s="161"/>
      <c r="M63" s="161"/>
      <c r="N63" s="161"/>
      <c r="O63" s="161"/>
      <c r="P63" s="161"/>
      <c r="Q63" s="161"/>
      <c r="R63" s="161"/>
    </row>
    <row r="64" spans="1:18" ht="15.75" customHeight="1">
      <c r="A64" s="161"/>
      <c r="B64" s="161"/>
      <c r="C64" s="161"/>
      <c r="D64" s="161"/>
      <c r="E64" s="161"/>
      <c r="F64" s="161"/>
      <c r="G64" s="161"/>
      <c r="H64" s="161"/>
      <c r="I64" s="161"/>
      <c r="J64" s="161"/>
      <c r="K64" s="161"/>
      <c r="L64" s="161"/>
      <c r="M64" s="161"/>
      <c r="N64" s="161"/>
      <c r="O64" s="161"/>
      <c r="P64" s="161"/>
      <c r="Q64" s="161"/>
      <c r="R64" s="161"/>
    </row>
    <row r="65" spans="1:18" ht="15.75" customHeight="1">
      <c r="A65" s="161"/>
      <c r="B65" s="161"/>
      <c r="C65" s="161"/>
      <c r="D65" s="161"/>
      <c r="E65" s="161"/>
      <c r="F65" s="161"/>
      <c r="G65" s="161"/>
      <c r="H65" s="161"/>
      <c r="I65" s="161"/>
      <c r="J65" s="161"/>
      <c r="K65" s="161"/>
      <c r="L65" s="161"/>
      <c r="M65" s="161"/>
      <c r="N65" s="161"/>
      <c r="O65" s="161"/>
      <c r="P65" s="161"/>
      <c r="Q65" s="161"/>
      <c r="R65" s="161"/>
    </row>
    <row r="66" spans="1:18" ht="15.75" customHeight="1">
      <c r="A66" s="161"/>
      <c r="B66" s="161"/>
      <c r="C66" s="161"/>
      <c r="D66" s="161"/>
      <c r="E66" s="161"/>
      <c r="F66" s="161"/>
      <c r="G66" s="161"/>
      <c r="H66" s="161"/>
      <c r="I66" s="161"/>
      <c r="J66" s="161"/>
      <c r="K66" s="161"/>
      <c r="L66" s="161"/>
      <c r="M66" s="161"/>
      <c r="N66" s="161"/>
      <c r="O66" s="161"/>
      <c r="P66" s="161"/>
      <c r="Q66" s="161"/>
      <c r="R66" s="161"/>
    </row>
    <row r="67" spans="1:18" ht="15.75" customHeight="1">
      <c r="A67" s="161"/>
      <c r="B67" s="161"/>
      <c r="C67" s="161"/>
      <c r="D67" s="161"/>
      <c r="E67" s="161"/>
      <c r="F67" s="161"/>
      <c r="G67" s="161"/>
      <c r="H67" s="161"/>
      <c r="I67" s="161"/>
      <c r="J67" s="161"/>
      <c r="K67" s="161"/>
      <c r="L67" s="161"/>
      <c r="M67" s="161"/>
      <c r="N67" s="161"/>
      <c r="O67" s="161"/>
      <c r="P67" s="161"/>
      <c r="Q67" s="161"/>
      <c r="R67" s="161"/>
    </row>
    <row r="68" spans="1:18" ht="15.75" customHeight="1">
      <c r="A68" s="161"/>
      <c r="B68" s="161"/>
      <c r="C68" s="161"/>
      <c r="D68" s="161"/>
      <c r="E68" s="161"/>
      <c r="F68" s="161"/>
      <c r="G68" s="161"/>
      <c r="H68" s="161"/>
      <c r="I68" s="161"/>
      <c r="J68" s="161"/>
      <c r="K68" s="161"/>
      <c r="L68" s="161"/>
      <c r="M68" s="161"/>
      <c r="N68" s="161"/>
      <c r="O68" s="161"/>
      <c r="P68" s="161"/>
      <c r="Q68" s="161"/>
      <c r="R68" s="161"/>
    </row>
    <row r="69" spans="1:18" ht="15.75" customHeight="1">
      <c r="A69" s="161"/>
      <c r="B69" s="161"/>
      <c r="C69" s="161"/>
      <c r="D69" s="161"/>
      <c r="E69" s="161"/>
      <c r="F69" s="161"/>
      <c r="G69" s="161"/>
      <c r="H69" s="161"/>
      <c r="I69" s="161"/>
      <c r="J69" s="161"/>
      <c r="K69" s="161"/>
      <c r="L69" s="161"/>
      <c r="M69" s="161"/>
      <c r="N69" s="161"/>
      <c r="O69" s="161"/>
      <c r="P69" s="161"/>
      <c r="Q69" s="161"/>
      <c r="R69" s="161"/>
    </row>
    <row r="70" spans="1:18" ht="15.75" customHeight="1">
      <c r="A70" s="161"/>
      <c r="B70" s="161"/>
      <c r="C70" s="161"/>
      <c r="D70" s="161"/>
      <c r="E70" s="161"/>
      <c r="F70" s="161"/>
      <c r="G70" s="161"/>
      <c r="H70" s="161"/>
      <c r="I70" s="161"/>
      <c r="J70" s="161"/>
      <c r="K70" s="161"/>
      <c r="L70" s="161"/>
      <c r="M70" s="161"/>
      <c r="N70" s="161"/>
      <c r="O70" s="161"/>
      <c r="P70" s="161"/>
      <c r="Q70" s="161"/>
      <c r="R70" s="161"/>
    </row>
    <row r="71" spans="1:18" ht="15.75" customHeight="1">
      <c r="A71" s="161"/>
      <c r="B71" s="161"/>
      <c r="C71" s="161"/>
      <c r="D71" s="161"/>
      <c r="E71" s="161"/>
      <c r="F71" s="161"/>
      <c r="G71" s="161"/>
      <c r="H71" s="161"/>
      <c r="I71" s="161"/>
      <c r="J71" s="161"/>
      <c r="K71" s="161"/>
      <c r="L71" s="161"/>
      <c r="M71" s="161"/>
      <c r="N71" s="161"/>
      <c r="O71" s="161"/>
      <c r="P71" s="161"/>
      <c r="Q71" s="161"/>
      <c r="R71" s="161"/>
    </row>
    <row r="72" spans="1:18" ht="15.75" customHeight="1">
      <c r="A72" s="161"/>
      <c r="B72" s="161"/>
      <c r="C72" s="161"/>
      <c r="D72" s="161"/>
      <c r="E72" s="161"/>
      <c r="F72" s="161"/>
      <c r="G72" s="161"/>
      <c r="H72" s="161"/>
      <c r="I72" s="161"/>
      <c r="J72" s="161"/>
      <c r="K72" s="161"/>
      <c r="L72" s="161"/>
      <c r="M72" s="161"/>
      <c r="N72" s="161"/>
      <c r="O72" s="161"/>
      <c r="P72" s="161"/>
      <c r="Q72" s="161"/>
      <c r="R72" s="161"/>
    </row>
    <row r="73" spans="1:18" ht="15.75" customHeight="1">
      <c r="A73" s="161"/>
      <c r="B73" s="161"/>
      <c r="C73" s="161"/>
      <c r="D73" s="161"/>
      <c r="E73" s="161"/>
      <c r="F73" s="161"/>
      <c r="G73" s="161"/>
      <c r="H73" s="161"/>
      <c r="I73" s="161"/>
      <c r="J73" s="161"/>
      <c r="K73" s="161"/>
      <c r="L73" s="161"/>
      <c r="M73" s="161"/>
      <c r="N73" s="161"/>
      <c r="O73" s="161"/>
      <c r="P73" s="161"/>
      <c r="Q73" s="161"/>
      <c r="R73" s="161"/>
    </row>
    <row r="74" spans="1:18" ht="15.75" customHeight="1">
      <c r="A74" s="161"/>
      <c r="B74" s="161"/>
      <c r="C74" s="161"/>
      <c r="D74" s="161"/>
      <c r="E74" s="161"/>
      <c r="F74" s="161"/>
      <c r="G74" s="161"/>
      <c r="H74" s="161"/>
      <c r="I74" s="161"/>
      <c r="J74" s="161"/>
      <c r="K74" s="161"/>
      <c r="L74" s="161"/>
      <c r="M74" s="161"/>
      <c r="N74" s="161"/>
      <c r="O74" s="161"/>
      <c r="P74" s="161"/>
      <c r="Q74" s="161"/>
      <c r="R74" s="161"/>
    </row>
    <row r="75" spans="1:18" ht="15.75" customHeight="1">
      <c r="A75" s="161"/>
      <c r="B75" s="161"/>
      <c r="C75" s="161"/>
      <c r="D75" s="161"/>
      <c r="E75" s="161"/>
      <c r="F75" s="161"/>
      <c r="G75" s="161"/>
      <c r="H75" s="161"/>
      <c r="I75" s="161"/>
      <c r="J75" s="161"/>
      <c r="K75" s="161"/>
      <c r="L75" s="161"/>
      <c r="M75" s="161"/>
      <c r="N75" s="161"/>
      <c r="O75" s="161"/>
      <c r="P75" s="161"/>
      <c r="Q75" s="161"/>
      <c r="R75" s="161"/>
    </row>
    <row r="76" spans="1:18" ht="15.75" customHeight="1">
      <c r="A76" s="161"/>
      <c r="B76" s="161"/>
      <c r="C76" s="161"/>
      <c r="D76" s="161"/>
      <c r="E76" s="161"/>
      <c r="F76" s="161"/>
      <c r="G76" s="161"/>
      <c r="H76" s="161"/>
      <c r="I76" s="161"/>
      <c r="J76" s="161"/>
      <c r="K76" s="161"/>
      <c r="L76" s="161"/>
      <c r="M76" s="161"/>
      <c r="N76" s="161"/>
      <c r="O76" s="161"/>
      <c r="P76" s="161"/>
      <c r="Q76" s="161"/>
      <c r="R76" s="161"/>
    </row>
    <row r="77" spans="1:18" ht="15.75" customHeight="1">
      <c r="A77" s="161"/>
      <c r="B77" s="161"/>
      <c r="C77" s="161"/>
      <c r="D77" s="161"/>
      <c r="E77" s="161"/>
      <c r="F77" s="161"/>
      <c r="G77" s="161"/>
      <c r="H77" s="161"/>
      <c r="I77" s="161"/>
      <c r="J77" s="161"/>
      <c r="K77" s="161"/>
      <c r="L77" s="161"/>
      <c r="M77" s="161"/>
      <c r="N77" s="161"/>
      <c r="O77" s="161"/>
      <c r="P77" s="161"/>
      <c r="Q77" s="161"/>
      <c r="R77" s="161"/>
    </row>
    <row r="78" spans="1:18" ht="15.75" customHeight="1">
      <c r="A78" s="161"/>
      <c r="B78" s="161"/>
      <c r="C78" s="161"/>
      <c r="D78" s="161"/>
      <c r="E78" s="161"/>
      <c r="F78" s="161"/>
      <c r="G78" s="161"/>
      <c r="H78" s="161"/>
      <c r="I78" s="161"/>
      <c r="J78" s="161"/>
      <c r="K78" s="161"/>
      <c r="L78" s="161"/>
      <c r="M78" s="161"/>
      <c r="N78" s="161"/>
      <c r="O78" s="161"/>
      <c r="P78" s="161"/>
      <c r="Q78" s="161"/>
      <c r="R78" s="161"/>
    </row>
    <row r="79" spans="1:18" ht="15.75" customHeight="1">
      <c r="A79" s="161"/>
      <c r="B79" s="161"/>
      <c r="C79" s="161"/>
      <c r="D79" s="161"/>
      <c r="E79" s="161"/>
      <c r="F79" s="161"/>
      <c r="G79" s="161"/>
      <c r="H79" s="161"/>
      <c r="I79" s="161"/>
      <c r="J79" s="161"/>
      <c r="K79" s="161"/>
      <c r="L79" s="161"/>
      <c r="M79" s="161"/>
      <c r="N79" s="161"/>
      <c r="O79" s="161"/>
      <c r="P79" s="161"/>
      <c r="Q79" s="161"/>
      <c r="R79" s="161"/>
    </row>
    <row r="80" spans="1:18" ht="15.75" customHeight="1">
      <c r="A80" s="161"/>
      <c r="B80" s="161"/>
      <c r="C80" s="161"/>
      <c r="D80" s="161"/>
      <c r="E80" s="161"/>
      <c r="F80" s="161"/>
      <c r="G80" s="161"/>
      <c r="H80" s="161"/>
      <c r="I80" s="161"/>
      <c r="J80" s="161"/>
      <c r="K80" s="161"/>
      <c r="L80" s="161"/>
      <c r="M80" s="161"/>
      <c r="N80" s="161"/>
      <c r="O80" s="161"/>
      <c r="P80" s="161"/>
      <c r="Q80" s="161"/>
      <c r="R80" s="161"/>
    </row>
    <row r="81" spans="1:18" ht="15.75" customHeight="1">
      <c r="A81" s="161"/>
      <c r="B81" s="161"/>
      <c r="C81" s="161"/>
      <c r="D81" s="161"/>
      <c r="E81" s="161"/>
      <c r="F81" s="161"/>
      <c r="G81" s="161"/>
      <c r="H81" s="161"/>
      <c r="I81" s="161"/>
      <c r="J81" s="161"/>
      <c r="K81" s="161"/>
      <c r="L81" s="161"/>
      <c r="M81" s="161"/>
      <c r="N81" s="161"/>
      <c r="O81" s="161"/>
      <c r="P81" s="161"/>
      <c r="Q81" s="161"/>
      <c r="R81" s="161"/>
    </row>
    <row r="82" spans="1:18" ht="15.75" customHeight="1">
      <c r="A82" s="161"/>
      <c r="B82" s="161"/>
      <c r="C82" s="161"/>
      <c r="D82" s="161"/>
      <c r="E82" s="161"/>
      <c r="F82" s="161"/>
      <c r="G82" s="161"/>
      <c r="H82" s="161"/>
      <c r="I82" s="161"/>
      <c r="J82" s="161"/>
      <c r="K82" s="161"/>
      <c r="L82" s="161"/>
      <c r="M82" s="161"/>
      <c r="N82" s="161"/>
      <c r="O82" s="161"/>
      <c r="P82" s="161"/>
      <c r="Q82" s="161"/>
      <c r="R82" s="161"/>
    </row>
    <row r="83" spans="1:18" ht="15.75" customHeight="1">
      <c r="A83" s="161"/>
      <c r="B83" s="161"/>
      <c r="C83" s="161"/>
      <c r="D83" s="161"/>
      <c r="E83" s="161"/>
      <c r="F83" s="161"/>
      <c r="G83" s="161"/>
      <c r="H83" s="161"/>
      <c r="I83" s="161"/>
      <c r="J83" s="161"/>
      <c r="K83" s="161"/>
      <c r="L83" s="161"/>
      <c r="M83" s="161"/>
      <c r="N83" s="161"/>
      <c r="O83" s="161"/>
      <c r="P83" s="161"/>
      <c r="Q83" s="161"/>
      <c r="R83" s="161"/>
    </row>
    <row r="84" spans="1:18" ht="15.75" customHeight="1">
      <c r="A84" s="161"/>
      <c r="B84" s="161"/>
      <c r="C84" s="161"/>
      <c r="D84" s="161"/>
      <c r="E84" s="161"/>
      <c r="F84" s="161"/>
      <c r="G84" s="161"/>
      <c r="H84" s="161"/>
      <c r="I84" s="161"/>
      <c r="J84" s="161"/>
      <c r="K84" s="161"/>
      <c r="L84" s="161"/>
      <c r="M84" s="161"/>
      <c r="N84" s="161"/>
      <c r="O84" s="161"/>
      <c r="P84" s="161"/>
      <c r="Q84" s="161"/>
      <c r="R84" s="161"/>
    </row>
    <row r="85" spans="1:18" ht="15.75" customHeight="1">
      <c r="A85" s="161"/>
      <c r="B85" s="161"/>
      <c r="C85" s="161"/>
      <c r="D85" s="161"/>
      <c r="E85" s="161"/>
      <c r="F85" s="161"/>
      <c r="G85" s="161"/>
      <c r="H85" s="161"/>
      <c r="I85" s="161"/>
      <c r="J85" s="161"/>
      <c r="K85" s="161"/>
      <c r="L85" s="161"/>
      <c r="M85" s="161"/>
      <c r="N85" s="161"/>
      <c r="O85" s="161"/>
      <c r="P85" s="161"/>
      <c r="Q85" s="161"/>
      <c r="R85" s="161"/>
    </row>
    <row r="86" spans="1:18" ht="15.75" customHeight="1">
      <c r="A86" s="161"/>
      <c r="B86" s="161"/>
      <c r="C86" s="161"/>
      <c r="D86" s="161"/>
      <c r="E86" s="161"/>
      <c r="F86" s="161"/>
      <c r="G86" s="161"/>
      <c r="H86" s="161"/>
      <c r="I86" s="161"/>
      <c r="J86" s="161"/>
      <c r="K86" s="161"/>
      <c r="L86" s="161"/>
      <c r="M86" s="161"/>
      <c r="N86" s="161"/>
      <c r="O86" s="161"/>
      <c r="P86" s="161"/>
      <c r="Q86" s="161"/>
      <c r="R86" s="161"/>
    </row>
    <row r="87" spans="1:18" ht="15.75" customHeight="1">
      <c r="A87" s="161"/>
      <c r="B87" s="161"/>
      <c r="C87" s="161"/>
      <c r="D87" s="161"/>
      <c r="E87" s="161"/>
      <c r="F87" s="161"/>
      <c r="G87" s="161"/>
      <c r="H87" s="161"/>
      <c r="I87" s="161"/>
      <c r="J87" s="161"/>
      <c r="K87" s="161"/>
      <c r="L87" s="161"/>
      <c r="M87" s="161"/>
      <c r="N87" s="161"/>
      <c r="O87" s="161"/>
      <c r="P87" s="161"/>
      <c r="Q87" s="161"/>
      <c r="R87" s="161"/>
    </row>
    <row r="88" spans="1:18" ht="15.75" customHeight="1">
      <c r="A88" s="161"/>
      <c r="B88" s="161"/>
      <c r="C88" s="161"/>
      <c r="D88" s="161"/>
      <c r="E88" s="161"/>
      <c r="F88" s="161"/>
      <c r="G88" s="161"/>
      <c r="H88" s="161"/>
      <c r="I88" s="161"/>
      <c r="J88" s="161"/>
      <c r="K88" s="161"/>
      <c r="L88" s="161"/>
      <c r="M88" s="161"/>
      <c r="N88" s="161"/>
      <c r="O88" s="161"/>
      <c r="P88" s="161"/>
      <c r="Q88" s="161"/>
      <c r="R88" s="161"/>
    </row>
    <row r="89" spans="1:18" ht="15.75" customHeight="1">
      <c r="A89" s="161"/>
      <c r="B89" s="161"/>
      <c r="C89" s="161"/>
      <c r="D89" s="161"/>
      <c r="E89" s="161"/>
      <c r="F89" s="161"/>
      <c r="G89" s="161"/>
      <c r="H89" s="161"/>
      <c r="I89" s="161"/>
      <c r="J89" s="161"/>
      <c r="K89" s="161"/>
      <c r="L89" s="161"/>
      <c r="M89" s="161"/>
      <c r="N89" s="161"/>
      <c r="O89" s="161"/>
      <c r="P89" s="161"/>
      <c r="Q89" s="161"/>
      <c r="R89" s="161"/>
    </row>
    <row r="90" spans="1:18" ht="15.75" customHeight="1">
      <c r="A90" s="161"/>
      <c r="B90" s="161"/>
      <c r="C90" s="161"/>
      <c r="D90" s="161"/>
      <c r="E90" s="161"/>
      <c r="F90" s="161"/>
      <c r="G90" s="161"/>
      <c r="H90" s="161"/>
      <c r="I90" s="161"/>
      <c r="J90" s="161"/>
      <c r="K90" s="161"/>
      <c r="L90" s="161"/>
      <c r="M90" s="161"/>
      <c r="N90" s="161"/>
      <c r="O90" s="161"/>
      <c r="P90" s="161"/>
      <c r="Q90" s="161"/>
      <c r="R90" s="161"/>
    </row>
    <row r="91" spans="1:18" ht="15.75" customHeight="1">
      <c r="A91" s="161"/>
      <c r="B91" s="161"/>
      <c r="C91" s="161"/>
      <c r="D91" s="161"/>
      <c r="E91" s="161"/>
      <c r="F91" s="161"/>
      <c r="G91" s="161"/>
      <c r="H91" s="161"/>
      <c r="I91" s="161"/>
      <c r="J91" s="161"/>
      <c r="K91" s="161"/>
      <c r="L91" s="161"/>
      <c r="M91" s="161"/>
      <c r="N91" s="161"/>
      <c r="O91" s="161"/>
      <c r="P91" s="161"/>
      <c r="Q91" s="161"/>
      <c r="R91" s="161"/>
    </row>
    <row r="92" spans="1:18" ht="15.75" customHeight="1">
      <c r="A92" s="161"/>
      <c r="B92" s="161"/>
      <c r="C92" s="161"/>
      <c r="D92" s="161"/>
      <c r="E92" s="161"/>
      <c r="F92" s="161"/>
      <c r="G92" s="161"/>
      <c r="H92" s="161"/>
      <c r="I92" s="161"/>
      <c r="J92" s="161"/>
      <c r="K92" s="161"/>
      <c r="L92" s="161"/>
      <c r="M92" s="161"/>
      <c r="N92" s="161"/>
      <c r="O92" s="161"/>
      <c r="P92" s="161"/>
      <c r="Q92" s="161"/>
      <c r="R92" s="161"/>
    </row>
    <row r="93" spans="1:18" ht="15.75" customHeight="1">
      <c r="A93" s="161"/>
      <c r="B93" s="161"/>
      <c r="C93" s="161"/>
      <c r="D93" s="161"/>
      <c r="E93" s="161"/>
      <c r="F93" s="161"/>
      <c r="G93" s="161"/>
      <c r="H93" s="161"/>
      <c r="I93" s="161"/>
      <c r="J93" s="161"/>
      <c r="K93" s="161"/>
      <c r="L93" s="161"/>
      <c r="M93" s="161"/>
      <c r="N93" s="161"/>
      <c r="O93" s="161"/>
      <c r="P93" s="161"/>
      <c r="Q93" s="161"/>
      <c r="R93" s="161"/>
    </row>
    <row r="94" spans="1:18" ht="15.75" customHeight="1">
      <c r="A94" s="161"/>
      <c r="B94" s="161"/>
      <c r="C94" s="161"/>
      <c r="D94" s="161"/>
      <c r="E94" s="161"/>
      <c r="F94" s="161"/>
      <c r="G94" s="161"/>
      <c r="H94" s="161"/>
      <c r="I94" s="161"/>
      <c r="J94" s="161"/>
      <c r="K94" s="161"/>
      <c r="L94" s="161"/>
      <c r="M94" s="161"/>
      <c r="N94" s="161"/>
      <c r="O94" s="161"/>
      <c r="P94" s="161"/>
      <c r="Q94" s="161"/>
      <c r="R94" s="161"/>
    </row>
    <row r="95" spans="1:18" ht="15.75" customHeight="1">
      <c r="A95" s="161"/>
      <c r="B95" s="161"/>
      <c r="C95" s="161"/>
      <c r="D95" s="161"/>
      <c r="E95" s="161"/>
      <c r="F95" s="161"/>
      <c r="G95" s="161"/>
      <c r="H95" s="161"/>
      <c r="I95" s="161"/>
      <c r="J95" s="161"/>
      <c r="K95" s="161"/>
      <c r="L95" s="161"/>
      <c r="M95" s="161"/>
      <c r="N95" s="161"/>
      <c r="O95" s="161"/>
      <c r="P95" s="161"/>
      <c r="Q95" s="161"/>
      <c r="R95" s="161"/>
    </row>
    <row r="96" spans="1:18" ht="15.75" customHeight="1">
      <c r="A96" s="161"/>
      <c r="B96" s="161"/>
      <c r="C96" s="161"/>
      <c r="D96" s="161"/>
      <c r="E96" s="161"/>
      <c r="F96" s="161"/>
      <c r="G96" s="161"/>
      <c r="H96" s="161"/>
      <c r="I96" s="161"/>
      <c r="J96" s="161"/>
      <c r="K96" s="161"/>
      <c r="L96" s="161"/>
      <c r="M96" s="161"/>
      <c r="N96" s="161"/>
      <c r="O96" s="161"/>
      <c r="P96" s="161"/>
      <c r="Q96" s="161"/>
      <c r="R96" s="161"/>
    </row>
    <row r="97" spans="1:18" ht="15.75" customHeight="1">
      <c r="A97" s="161"/>
      <c r="B97" s="161"/>
      <c r="C97" s="161"/>
      <c r="D97" s="161"/>
      <c r="E97" s="161"/>
      <c r="F97" s="161"/>
      <c r="G97" s="161"/>
      <c r="H97" s="161"/>
      <c r="I97" s="161"/>
      <c r="J97" s="161"/>
      <c r="K97" s="161"/>
      <c r="L97" s="161"/>
      <c r="M97" s="161"/>
      <c r="N97" s="161"/>
      <c r="O97" s="161"/>
      <c r="P97" s="161"/>
      <c r="Q97" s="161"/>
      <c r="R97" s="161"/>
    </row>
    <row r="98" spans="1:18" ht="15.75" customHeight="1">
      <c r="A98" s="161"/>
      <c r="B98" s="161"/>
      <c r="C98" s="161"/>
      <c r="D98" s="161"/>
      <c r="E98" s="161"/>
      <c r="F98" s="161"/>
      <c r="G98" s="161"/>
      <c r="H98" s="161"/>
      <c r="I98" s="161"/>
      <c r="J98" s="161"/>
      <c r="K98" s="161"/>
      <c r="L98" s="161"/>
      <c r="M98" s="161"/>
      <c r="N98" s="161"/>
      <c r="O98" s="161"/>
      <c r="P98" s="161"/>
      <c r="Q98" s="161"/>
      <c r="R98" s="161"/>
    </row>
    <row r="99" spans="1:18" ht="15.75" customHeight="1">
      <c r="A99" s="161"/>
      <c r="B99" s="161"/>
      <c r="C99" s="161"/>
      <c r="D99" s="161"/>
      <c r="E99" s="161"/>
      <c r="F99" s="161"/>
      <c r="G99" s="161"/>
      <c r="H99" s="161"/>
      <c r="I99" s="161"/>
      <c r="J99" s="161"/>
      <c r="K99" s="161"/>
      <c r="L99" s="161"/>
      <c r="M99" s="161"/>
      <c r="N99" s="161"/>
      <c r="O99" s="161"/>
      <c r="P99" s="161"/>
      <c r="Q99" s="161"/>
      <c r="R99" s="161"/>
    </row>
    <row r="100" spans="1:18" ht="15.75" customHeight="1">
      <c r="A100" s="161"/>
      <c r="B100" s="161"/>
      <c r="C100" s="161"/>
      <c r="D100" s="161"/>
      <c r="E100" s="161"/>
      <c r="F100" s="161"/>
      <c r="G100" s="161"/>
      <c r="H100" s="161"/>
      <c r="I100" s="161"/>
      <c r="J100" s="161"/>
      <c r="K100" s="161"/>
      <c r="L100" s="161"/>
      <c r="M100" s="161"/>
      <c r="N100" s="161"/>
      <c r="O100" s="161"/>
      <c r="P100" s="161"/>
      <c r="Q100" s="161"/>
      <c r="R100" s="161"/>
    </row>
  </sheetData>
  <mergeCells count="3">
    <mergeCell ref="A1:F1"/>
    <mergeCell ref="A2:H2"/>
    <mergeCell ref="A50:I50"/>
  </mergeCells>
  <conditionalFormatting sqref="B36:F38 B37:H37">
    <cfRule type="cellIs" dxfId="2" priority="1" operator="lessThan">
      <formula>0</formula>
    </cfRule>
  </conditionalFormatting>
  <conditionalFormatting sqref="G36:G38">
    <cfRule type="cellIs" dxfId="1" priority="2" operator="lessThan">
      <formula>0</formula>
    </cfRule>
  </conditionalFormatting>
  <conditionalFormatting sqref="H36:H38">
    <cfRule type="cellIs" dxfId="0" priority="3" operator="lessThan">
      <formula>0</formula>
    </cfRule>
  </conditionalFormatting>
  <pageMargins left="0.7" right="0.7" top="0.75" bottom="0.75" header="0" footer="0"/>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sqref="A1:G1"/>
    </sheetView>
  </sheetViews>
  <sheetFormatPr defaultColWidth="14.44140625" defaultRowHeight="15" customHeight="1"/>
  <cols>
    <col min="1" max="1" width="3.5546875" customWidth="1"/>
    <col min="2" max="2" width="35.6640625" customWidth="1"/>
    <col min="3" max="3" width="15.5546875" customWidth="1"/>
    <col min="4" max="4" width="15.6640625" customWidth="1"/>
    <col min="5" max="5" width="14.5546875" customWidth="1"/>
    <col min="6" max="6" width="14.6640625" customWidth="1"/>
    <col min="7" max="7" width="18.88671875" customWidth="1"/>
    <col min="8" max="9" width="14.88671875" customWidth="1"/>
    <col min="10" max="11" width="8.6640625" customWidth="1"/>
  </cols>
  <sheetData>
    <row r="1" spans="1:10" ht="14.4">
      <c r="A1" s="371"/>
      <c r="B1" s="335"/>
      <c r="C1" s="335"/>
      <c r="D1" s="335"/>
      <c r="E1" s="335"/>
      <c r="F1" s="335"/>
      <c r="G1" s="335"/>
    </row>
    <row r="2" spans="1:10" ht="17.399999999999999">
      <c r="A2" s="351" t="s">
        <v>402</v>
      </c>
      <c r="B2" s="335"/>
      <c r="C2" s="335"/>
      <c r="D2" s="335"/>
      <c r="E2" s="335"/>
      <c r="F2" s="335"/>
      <c r="G2" s="335"/>
      <c r="H2" s="335"/>
      <c r="I2" s="335"/>
      <c r="J2" s="162"/>
    </row>
    <row r="4" spans="1:10" ht="14.4">
      <c r="A4" s="190" t="s">
        <v>403</v>
      </c>
      <c r="B4" s="190" t="s">
        <v>149</v>
      </c>
      <c r="C4" s="84" t="s">
        <v>152</v>
      </c>
      <c r="D4" s="84" t="s">
        <v>153</v>
      </c>
      <c r="E4" s="84" t="s">
        <v>154</v>
      </c>
      <c r="F4" s="84" t="s">
        <v>155</v>
      </c>
      <c r="G4" s="84" t="s">
        <v>156</v>
      </c>
      <c r="H4" s="84" t="s">
        <v>157</v>
      </c>
      <c r="I4" s="84" t="s">
        <v>158</v>
      </c>
    </row>
    <row r="5" spans="1:10" ht="14.4">
      <c r="A5" s="191">
        <v>1</v>
      </c>
      <c r="B5" s="191" t="s">
        <v>404</v>
      </c>
      <c r="C5" s="192"/>
      <c r="D5" s="192"/>
      <c r="E5" s="192"/>
      <c r="F5" s="192"/>
      <c r="G5" s="192"/>
      <c r="H5" s="192"/>
      <c r="I5" s="192"/>
    </row>
    <row r="6" spans="1:10" ht="14.4">
      <c r="A6" s="191"/>
      <c r="B6" s="193" t="s">
        <v>405</v>
      </c>
      <c r="C6" s="192">
        <f>'6.Cons Profit &amp; Loss'!B15</f>
        <v>61560042.75</v>
      </c>
      <c r="D6" s="192">
        <f>'6.Cons Profit &amp; Loss'!C15</f>
        <v>68849144.4375</v>
      </c>
      <c r="E6" s="192">
        <f>'6.Cons Profit &amp; Loss'!D15</f>
        <v>73185866.971874997</v>
      </c>
      <c r="F6" s="192">
        <f>'6.Cons Profit &amp; Loss'!E15</f>
        <v>77784138.898593754</v>
      </c>
      <c r="G6" s="192">
        <f>'6.Cons Profit &amp; Loss'!F15</f>
        <v>82659273.350554705</v>
      </c>
      <c r="H6" s="192">
        <f>'6.Cons Profit &amp; Loss'!G15</f>
        <v>87827460.90046525</v>
      </c>
      <c r="I6" s="192">
        <f>'6.Cons Profit &amp; Loss'!H15</f>
        <v>93305819.021990478</v>
      </c>
    </row>
    <row r="7" spans="1:10" ht="14.4">
      <c r="A7" s="191">
        <v>2</v>
      </c>
      <c r="B7" s="191" t="s">
        <v>406</v>
      </c>
      <c r="C7" s="192">
        <f>'1.Project Cost and MOF'!E21</f>
        <v>1213807.0621553976</v>
      </c>
      <c r="D7" s="192"/>
      <c r="E7" s="192"/>
      <c r="F7" s="192"/>
      <c r="G7" s="192"/>
      <c r="H7" s="192"/>
      <c r="I7" s="192"/>
    </row>
    <row r="8" spans="1:10" ht="14.4">
      <c r="A8" s="191"/>
      <c r="B8" s="191" t="s">
        <v>407</v>
      </c>
      <c r="C8" s="192"/>
      <c r="D8" s="192"/>
      <c r="E8" s="192"/>
      <c r="F8" s="192"/>
      <c r="G8" s="192"/>
      <c r="H8" s="192"/>
      <c r="I8" s="192"/>
    </row>
    <row r="9" spans="1:10" ht="14.4">
      <c r="A9" s="191">
        <v>3</v>
      </c>
      <c r="B9" s="191" t="str">
        <f>'7.Balance Sheet'!A34</f>
        <v>Smart Grant -in-Aid</v>
      </c>
      <c r="C9" s="192">
        <f>'1.Project Cost and MOF'!E19</f>
        <v>5056980</v>
      </c>
      <c r="D9" s="192"/>
      <c r="E9" s="192"/>
      <c r="F9" s="192"/>
      <c r="G9" s="192"/>
      <c r="H9" s="192"/>
      <c r="I9" s="192"/>
    </row>
    <row r="10" spans="1:10" ht="14.4">
      <c r="A10" s="191">
        <v>4</v>
      </c>
      <c r="B10" s="191" t="s">
        <v>408</v>
      </c>
      <c r="C10" s="192">
        <f>'1.Project Cost and MOF'!E20</f>
        <v>3186120</v>
      </c>
      <c r="D10" s="192"/>
      <c r="E10" s="192"/>
      <c r="F10" s="192"/>
      <c r="G10" s="192"/>
      <c r="H10" s="192"/>
      <c r="I10" s="192"/>
    </row>
    <row r="11" spans="1:10" ht="14.4">
      <c r="A11" s="191">
        <v>5</v>
      </c>
      <c r="B11" s="191" t="s">
        <v>409</v>
      </c>
      <c r="C11" s="192">
        <f>'5.Closing Stock &amp; W Capital'!E55*75%</f>
        <v>3085821.1864661914</v>
      </c>
      <c r="D11" s="192">
        <f>'5.Closing Stock &amp; W Capital'!F55</f>
        <v>4431284.6478119008</v>
      </c>
      <c r="E11" s="192">
        <f>'5.Closing Stock &amp; W Capital'!G55</f>
        <v>4709783.6550963316</v>
      </c>
      <c r="F11" s="192">
        <f>'5.Closing Stock &amp; W Capital'!H55</f>
        <v>5005054.3514896762</v>
      </c>
      <c r="G11" s="192">
        <f>'5.Closing Stock &amp; W Capital'!I55</f>
        <v>5318077.6583846156</v>
      </c>
      <c r="H11" s="192">
        <f>'5.Closing Stock &amp; W Capital'!J55</f>
        <v>5649890.6600903235</v>
      </c>
      <c r="I11" s="192">
        <f>'5.Closing Stock &amp; W Capital'!K55</f>
        <v>6001589.7678206395</v>
      </c>
    </row>
    <row r="12" spans="1:10" ht="14.4">
      <c r="A12" s="191"/>
      <c r="B12" s="191" t="s">
        <v>410</v>
      </c>
      <c r="C12" s="194">
        <f t="shared" ref="C12:I12" si="0">SUM(C6:C11)</f>
        <v>74102770.998621583</v>
      </c>
      <c r="D12" s="194">
        <f t="shared" si="0"/>
        <v>73280429.085311905</v>
      </c>
      <c r="E12" s="194">
        <f t="shared" si="0"/>
        <v>77895650.626971334</v>
      </c>
      <c r="F12" s="194">
        <f t="shared" si="0"/>
        <v>82789193.250083432</v>
      </c>
      <c r="G12" s="194">
        <f t="shared" si="0"/>
        <v>87977351.008939326</v>
      </c>
      <c r="H12" s="194">
        <f t="shared" si="0"/>
        <v>93477351.560555577</v>
      </c>
      <c r="I12" s="194">
        <f t="shared" si="0"/>
        <v>99307408.789811119</v>
      </c>
    </row>
    <row r="13" spans="1:10" ht="14.4">
      <c r="A13" s="387" t="s">
        <v>411</v>
      </c>
      <c r="B13" s="340"/>
      <c r="C13" s="195"/>
      <c r="D13" s="195"/>
      <c r="E13" s="195"/>
      <c r="F13" s="195"/>
      <c r="G13" s="195"/>
      <c r="H13" s="195"/>
      <c r="I13" s="195"/>
    </row>
    <row r="14" spans="1:10" ht="14.4">
      <c r="A14" s="191">
        <v>1</v>
      </c>
      <c r="B14" s="191" t="s">
        <v>412</v>
      </c>
      <c r="C14" s="195"/>
      <c r="D14" s="195"/>
      <c r="E14" s="195"/>
      <c r="F14" s="195"/>
      <c r="G14" s="195"/>
      <c r="H14" s="195"/>
      <c r="I14" s="195"/>
    </row>
    <row r="15" spans="1:10" ht="14.4">
      <c r="A15" s="196" t="s">
        <v>413</v>
      </c>
      <c r="B15" s="195" t="s">
        <v>699</v>
      </c>
      <c r="C15" s="197">
        <f>'1.Project Cost and MOF'!D5</f>
        <v>1948800</v>
      </c>
      <c r="D15" s="197"/>
      <c r="E15" s="197"/>
      <c r="F15" s="197"/>
      <c r="G15" s="197"/>
      <c r="H15" s="197"/>
      <c r="I15" s="197"/>
    </row>
    <row r="16" spans="1:10" ht="14.4">
      <c r="A16" s="196" t="s">
        <v>414</v>
      </c>
      <c r="B16" s="151" t="s">
        <v>699</v>
      </c>
      <c r="C16" s="197">
        <f>'1.Project Cost and MOF'!D6</f>
        <v>5841000</v>
      </c>
      <c r="D16" s="197"/>
      <c r="E16" s="197"/>
      <c r="F16" s="197"/>
      <c r="G16" s="197"/>
      <c r="H16" s="197"/>
      <c r="I16" s="197"/>
    </row>
    <row r="17" spans="1:9" ht="14.4">
      <c r="A17" s="196" t="s">
        <v>415</v>
      </c>
      <c r="B17" s="151" t="s">
        <v>416</v>
      </c>
      <c r="C17" s="197">
        <f>'1.Project Cost and MOF'!D7</f>
        <v>64500</v>
      </c>
      <c r="D17" s="197"/>
      <c r="E17" s="197"/>
      <c r="F17" s="197"/>
      <c r="G17" s="197"/>
      <c r="H17" s="197"/>
      <c r="I17" s="197"/>
    </row>
    <row r="18" spans="1:9" ht="14.4">
      <c r="A18" s="196" t="s">
        <v>417</v>
      </c>
      <c r="B18" s="151" t="s">
        <v>418</v>
      </c>
      <c r="C18" s="197">
        <f>'1.Project Cost and MOF'!D8</f>
        <v>111000</v>
      </c>
      <c r="D18" s="197"/>
      <c r="E18" s="197"/>
      <c r="F18" s="197"/>
      <c r="G18" s="197"/>
      <c r="H18" s="197"/>
      <c r="I18" s="197"/>
    </row>
    <row r="19" spans="1:9" ht="14.4">
      <c r="A19" s="196" t="s">
        <v>419</v>
      </c>
      <c r="B19" s="151" t="s">
        <v>195</v>
      </c>
      <c r="C19" s="197">
        <f>'1.Project Cost and MOF'!D9</f>
        <v>0</v>
      </c>
      <c r="D19" s="192"/>
      <c r="E19" s="192"/>
      <c r="F19" s="192"/>
      <c r="G19" s="192"/>
      <c r="H19" s="192"/>
      <c r="I19" s="192"/>
    </row>
    <row r="20" spans="1:9" ht="14.4">
      <c r="A20" s="196" t="s">
        <v>420</v>
      </c>
      <c r="B20" s="151" t="s">
        <v>421</v>
      </c>
      <c r="C20" s="197">
        <f>'1.Project Cost and MOF'!D10</f>
        <v>463000</v>
      </c>
      <c r="D20" s="192"/>
      <c r="E20" s="192"/>
      <c r="F20" s="192"/>
      <c r="G20" s="192"/>
      <c r="H20" s="192"/>
      <c r="I20" s="192"/>
    </row>
    <row r="21" spans="1:9" ht="15.75" customHeight="1">
      <c r="A21" s="191">
        <v>2</v>
      </c>
      <c r="B21" s="191" t="s">
        <v>422</v>
      </c>
      <c r="C21" s="195"/>
      <c r="D21" s="195"/>
      <c r="E21" s="195"/>
      <c r="F21" s="195"/>
      <c r="G21" s="195"/>
      <c r="H21" s="195"/>
      <c r="I21" s="195"/>
    </row>
    <row r="22" spans="1:9" ht="15.75" customHeight="1">
      <c r="A22" s="196" t="s">
        <v>413</v>
      </c>
      <c r="B22" s="195" t="s">
        <v>355</v>
      </c>
      <c r="C22" s="192">
        <f>'6.Cons Profit &amp; Loss'!B25</f>
        <v>56547267.789959997</v>
      </c>
      <c r="D22" s="192">
        <f>'6.Cons Profit &amp; Loss'!C25</f>
        <v>63958767.978798002</v>
      </c>
      <c r="E22" s="192">
        <f>'6.Cons Profit &amp; Loss'!D25</f>
        <v>68031170.278362915</v>
      </c>
      <c r="F22" s="192">
        <f>'6.Cons Profit &amp; Loss'!E25</f>
        <v>72350915.887937307</v>
      </c>
      <c r="G22" s="192">
        <f>'6.Cons Profit &amp; Loss'!F25</f>
        <v>76932558.13277325</v>
      </c>
      <c r="H22" s="192">
        <f>'6.Cons Profit &amp; Loss'!G25</f>
        <v>81791487.312372908</v>
      </c>
      <c r="I22" s="192">
        <f>'6.Cons Profit &amp; Loss'!H25</f>
        <v>86943978.014600635</v>
      </c>
    </row>
    <row r="23" spans="1:9" ht="15.75" customHeight="1">
      <c r="A23" s="196" t="s">
        <v>414</v>
      </c>
      <c r="B23" s="195" t="s">
        <v>357</v>
      </c>
      <c r="C23" s="192">
        <f>'6.Cons Profit &amp; Loss'!B36</f>
        <v>1469200</v>
      </c>
      <c r="D23" s="192">
        <f>'6.Cons Profit &amp; Loss'!C36</f>
        <v>1542660</v>
      </c>
      <c r="E23" s="192">
        <f>'6.Cons Profit &amp; Loss'!D36</f>
        <v>1619793</v>
      </c>
      <c r="F23" s="192">
        <f>'6.Cons Profit &amp; Loss'!E36</f>
        <v>1700782.6500000004</v>
      </c>
      <c r="G23" s="192">
        <f>'6.Cons Profit &amp; Loss'!F36</f>
        <v>1785821.7825000004</v>
      </c>
      <c r="H23" s="192">
        <f>'6.Cons Profit &amp; Loss'!G36</f>
        <v>1875112.8716250004</v>
      </c>
      <c r="I23" s="192">
        <f>'6.Cons Profit &amp; Loss'!H36</f>
        <v>1968868.5152062506</v>
      </c>
    </row>
    <row r="24" spans="1:9" ht="15.75" customHeight="1">
      <c r="A24" s="198">
        <v>3</v>
      </c>
      <c r="B24" s="191" t="s">
        <v>423</v>
      </c>
      <c r="C24" s="192"/>
      <c r="D24" s="192"/>
      <c r="E24" s="192"/>
      <c r="F24" s="192"/>
      <c r="G24" s="192"/>
      <c r="H24" s="192"/>
      <c r="I24" s="192"/>
    </row>
    <row r="25" spans="1:9" ht="15.75" customHeight="1">
      <c r="A25" s="196"/>
      <c r="B25" s="195" t="s">
        <v>424</v>
      </c>
      <c r="C25" s="192">
        <f>SUM('4.TL repayment sch'!E10:E21)</f>
        <v>167096.650671524</v>
      </c>
      <c r="D25" s="192">
        <f>SUM('4.TL repayment sch'!E22:E33)</f>
        <v>365665.15021365008</v>
      </c>
      <c r="E25" s="192">
        <f>SUM('4.TL repayment sch'!E34:E45)</f>
        <v>412040.64390770765</v>
      </c>
      <c r="F25" s="192">
        <f>SUM('4.TL repayment sch'!E46:E57)</f>
        <v>464297.71098689875</v>
      </c>
      <c r="G25" s="192">
        <f>SUM('4.TL repayment sch'!E58:E69)</f>
        <v>523182.28217301657</v>
      </c>
      <c r="H25" s="192">
        <f>SUM('4.TL repayment sch'!E70:E81)</f>
        <v>589534.89087412215</v>
      </c>
      <c r="I25" s="192">
        <f>SUM('4.TL repayment sch'!E82:E93)</f>
        <v>664302.67117308022</v>
      </c>
    </row>
    <row r="26" spans="1:9" ht="15.75" customHeight="1">
      <c r="A26" s="196"/>
      <c r="B26" s="195" t="s">
        <v>425</v>
      </c>
      <c r="C26" s="192">
        <f>SUM('4.TL repayment sch'!D10:D21)</f>
        <v>378205.47522556561</v>
      </c>
      <c r="D26" s="192">
        <f>SUM('4.TL repayment sch'!D22:D33)</f>
        <v>342604.70158052916</v>
      </c>
      <c r="E26" s="192">
        <f>SUM('4.TL repayment sch'!D34:D45)</f>
        <v>296229.20788647176</v>
      </c>
      <c r="F26" s="192">
        <f>SUM('4.TL repayment sch'!D46:D57)</f>
        <v>243972.14080728052</v>
      </c>
      <c r="G26" s="192">
        <f>SUM('4.TL repayment sch'!D58:D69)</f>
        <v>185087.56962116263</v>
      </c>
      <c r="H26" s="192">
        <f>SUM('4.TL repayment sch'!D70:D81)</f>
        <v>118734.96092005713</v>
      </c>
      <c r="I26" s="192">
        <f>SUM('4.TL repayment sch'!D82:D93)</f>
        <v>43967.180621099084</v>
      </c>
    </row>
    <row r="27" spans="1:9" ht="15.75" customHeight="1">
      <c r="A27" s="196"/>
      <c r="B27" s="195" t="s">
        <v>426</v>
      </c>
      <c r="C27" s="192">
        <f t="shared" ref="C27:I27" si="1">C11</f>
        <v>3085821.1864661914</v>
      </c>
      <c r="D27" s="192">
        <f t="shared" si="1"/>
        <v>4431284.6478119008</v>
      </c>
      <c r="E27" s="192">
        <f t="shared" si="1"/>
        <v>4709783.6550963316</v>
      </c>
      <c r="F27" s="192">
        <f t="shared" si="1"/>
        <v>5005054.3514896762</v>
      </c>
      <c r="G27" s="192">
        <f t="shared" si="1"/>
        <v>5318077.6583846156</v>
      </c>
      <c r="H27" s="192">
        <f t="shared" si="1"/>
        <v>5649890.6600903235</v>
      </c>
      <c r="I27" s="192">
        <f t="shared" si="1"/>
        <v>6001589.7678206395</v>
      </c>
    </row>
    <row r="28" spans="1:9" ht="15.75" customHeight="1">
      <c r="A28" s="196"/>
      <c r="B28" s="195" t="s">
        <v>427</v>
      </c>
      <c r="C28" s="199">
        <f t="shared" ref="C28:I28" si="2">C27*12%</f>
        <v>370298.54237594298</v>
      </c>
      <c r="D28" s="199">
        <f t="shared" si="2"/>
        <v>531754.15773742809</v>
      </c>
      <c r="E28" s="199">
        <f t="shared" si="2"/>
        <v>565174.03861155978</v>
      </c>
      <c r="F28" s="199">
        <f t="shared" si="2"/>
        <v>600606.52217876108</v>
      </c>
      <c r="G28" s="199">
        <f t="shared" si="2"/>
        <v>638169.31900615385</v>
      </c>
      <c r="H28" s="199">
        <f t="shared" si="2"/>
        <v>677986.87921083882</v>
      </c>
      <c r="I28" s="199">
        <f t="shared" si="2"/>
        <v>720190.77213847672</v>
      </c>
    </row>
    <row r="29" spans="1:9" ht="15.75" customHeight="1">
      <c r="A29" s="191">
        <v>4</v>
      </c>
      <c r="B29" s="191" t="s">
        <v>428</v>
      </c>
      <c r="C29" s="192">
        <f>'6.Cons Profit &amp; Loss'!B50</f>
        <v>410953.64503400854</v>
      </c>
      <c r="D29" s="192">
        <f>'6.Cons Profit &amp; Loss'!C50</f>
        <v>371330.20583985071</v>
      </c>
      <c r="E29" s="192">
        <f>'6.Cons Profit &amp; Loss'!D50</f>
        <v>459893.40072365315</v>
      </c>
      <c r="F29" s="192">
        <f>'6.Cons Profit &amp; Loss'!E50</f>
        <v>546217.38831930375</v>
      </c>
      <c r="G29" s="192">
        <f>'6.Cons Profit &amp; Loss'!F50</f>
        <v>631756.81860632636</v>
      </c>
      <c r="H29" s="192">
        <f>'6.Cons Profit &amp; Loss'!G50</f>
        <v>741793.14848328696</v>
      </c>
      <c r="I29" s="192">
        <f>'6.Cons Profit &amp; Loss'!H50</f>
        <v>829220.19657858589</v>
      </c>
    </row>
    <row r="30" spans="1:9" ht="15.75" customHeight="1">
      <c r="A30" s="191"/>
      <c r="B30" s="191" t="s">
        <v>429</v>
      </c>
      <c r="C30" s="194">
        <f t="shared" ref="C30:I30" si="3">SUM(C15:C29)</f>
        <v>70857143.289733231</v>
      </c>
      <c r="D30" s="194">
        <f t="shared" si="3"/>
        <v>71544066.841981381</v>
      </c>
      <c r="E30" s="194">
        <f t="shared" si="3"/>
        <v>76094084.224588647</v>
      </c>
      <c r="F30" s="194">
        <f t="shared" si="3"/>
        <v>80911846.651719227</v>
      </c>
      <c r="G30" s="194">
        <f t="shared" si="3"/>
        <v>86014653.563064545</v>
      </c>
      <c r="H30" s="194">
        <f t="shared" si="3"/>
        <v>91444540.723576546</v>
      </c>
      <c r="I30" s="194">
        <f t="shared" si="3"/>
        <v>97172117.118138775</v>
      </c>
    </row>
    <row r="31" spans="1:9" ht="15.75" customHeight="1">
      <c r="A31" s="191"/>
      <c r="B31" s="191" t="s">
        <v>430</v>
      </c>
      <c r="C31" s="194">
        <f t="shared" ref="C31:I31" si="4">C12-C30</f>
        <v>3245627.7088883519</v>
      </c>
      <c r="D31" s="194">
        <f t="shared" si="4"/>
        <v>1736362.2433305234</v>
      </c>
      <c r="E31" s="194">
        <f t="shared" si="4"/>
        <v>1801566.4023826867</v>
      </c>
      <c r="F31" s="194">
        <f t="shared" si="4"/>
        <v>1877346.5983642042</v>
      </c>
      <c r="G31" s="194">
        <f t="shared" si="4"/>
        <v>1962697.4458747804</v>
      </c>
      <c r="H31" s="194">
        <f t="shared" si="4"/>
        <v>2032810.8369790316</v>
      </c>
      <c r="I31" s="194">
        <f t="shared" si="4"/>
        <v>2135291.6716723442</v>
      </c>
    </row>
    <row r="32" spans="1:9" ht="15.75" customHeight="1">
      <c r="A32" s="198"/>
      <c r="B32" s="195" t="s">
        <v>431</v>
      </c>
      <c r="C32" s="195"/>
      <c r="D32" s="192">
        <f t="shared" ref="D32:I32" si="5">C33</f>
        <v>3245627.7088883519</v>
      </c>
      <c r="E32" s="192">
        <f t="shared" si="5"/>
        <v>4981989.9522188753</v>
      </c>
      <c r="F32" s="192">
        <f t="shared" si="5"/>
        <v>6783556.354601562</v>
      </c>
      <c r="G32" s="192">
        <f t="shared" si="5"/>
        <v>8660902.9529657662</v>
      </c>
      <c r="H32" s="192">
        <f t="shared" si="5"/>
        <v>10623600.398840547</v>
      </c>
      <c r="I32" s="192">
        <f t="shared" si="5"/>
        <v>12656411.235819578</v>
      </c>
    </row>
    <row r="33" spans="1:10" ht="15.75" customHeight="1">
      <c r="A33" s="191"/>
      <c r="B33" s="200" t="s">
        <v>432</v>
      </c>
      <c r="C33" s="194">
        <f t="shared" ref="C33:I33" si="6">C31+C32</f>
        <v>3245627.7088883519</v>
      </c>
      <c r="D33" s="194">
        <f t="shared" si="6"/>
        <v>4981989.9522188753</v>
      </c>
      <c r="E33" s="194">
        <f t="shared" si="6"/>
        <v>6783556.354601562</v>
      </c>
      <c r="F33" s="194">
        <f t="shared" si="6"/>
        <v>8660902.9529657662</v>
      </c>
      <c r="G33" s="194">
        <f t="shared" si="6"/>
        <v>10623600.398840547</v>
      </c>
      <c r="H33" s="194">
        <f t="shared" si="6"/>
        <v>12656411.235819578</v>
      </c>
      <c r="I33" s="194">
        <f t="shared" si="6"/>
        <v>14791702.907491922</v>
      </c>
    </row>
    <row r="34" spans="1:10" ht="15.75" customHeight="1"/>
    <row r="35" spans="1:10" ht="39.75" customHeight="1">
      <c r="A35" s="388" t="s">
        <v>433</v>
      </c>
      <c r="B35" s="335"/>
      <c r="C35" s="335"/>
      <c r="D35" s="335"/>
      <c r="E35" s="335"/>
      <c r="F35" s="335"/>
      <c r="G35" s="335"/>
      <c r="H35" s="335"/>
      <c r="I35" s="335"/>
      <c r="J35" s="335"/>
    </row>
    <row r="36" spans="1:10" ht="15.75" customHeight="1"/>
    <row r="37" spans="1:10" ht="15.75" customHeight="1">
      <c r="C37" s="158"/>
    </row>
    <row r="38" spans="1:10" ht="15.75" customHeight="1">
      <c r="C38" s="158"/>
    </row>
    <row r="39" spans="1:10" ht="15.75" customHeight="1">
      <c r="C39" s="158"/>
    </row>
    <row r="40" spans="1:10" ht="15.75" customHeight="1">
      <c r="C40" s="158"/>
    </row>
    <row r="41" spans="1:10" ht="15.75" customHeight="1">
      <c r="C41" s="158"/>
    </row>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13:B13"/>
    <mergeCell ref="A2:I2"/>
    <mergeCell ref="A35:J35"/>
  </mergeCells>
  <pageMargins left="0.7" right="0.7" top="0.75" bottom="0.75" header="0" footer="0"/>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cp:lastModifiedBy>
  <dcterms:created xsi:type="dcterms:W3CDTF">2006-09-16T00:00:00Z</dcterms:created>
  <dcterms:modified xsi:type="dcterms:W3CDTF">2023-01-30T15:12:21Z</dcterms:modified>
</cp:coreProperties>
</file>